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NL" sheetId="1" r:id="rId1"/>
    <sheet name="DATA" sheetId="2" state="hidden" r:id="rId2"/>
  </sheets>
  <definedNames>
    <definedName name="_xlnm._FilterDatabase" localSheetId="0" hidden="1">GNL!$A$1:$R$45</definedName>
  </definedNames>
  <calcPr calcId="152511"/>
</workbook>
</file>

<file path=xl/calcChain.xml><?xml version="1.0" encoding="utf-8"?>
<calcChain xmlns="http://schemas.openxmlformats.org/spreadsheetml/2006/main">
  <c r="F4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  <c r="A1" i="2"/>
  <c r="A65" i="2"/>
  <c r="A64" i="2"/>
  <c r="A63" i="2"/>
  <c r="A62" i="2"/>
  <c r="B61" i="2"/>
  <c r="B60" i="2"/>
  <c r="B59" i="2"/>
  <c r="C58" i="2"/>
  <c r="A57" i="2"/>
  <c r="B56" i="2"/>
  <c r="C55" i="2"/>
  <c r="D54" i="2"/>
  <c r="D53" i="2"/>
  <c r="U52" i="2"/>
  <c r="A52" i="2"/>
  <c r="D51" i="2"/>
  <c r="U50" i="2"/>
  <c r="A50" i="2"/>
  <c r="B49" i="2"/>
  <c r="X48" i="2"/>
  <c r="D48" i="2"/>
  <c r="D47" i="2"/>
  <c r="Z46" i="2"/>
  <c r="U46" i="2"/>
  <c r="A46" i="2"/>
  <c r="B45" i="2"/>
  <c r="B44" i="2"/>
  <c r="B43" i="2"/>
  <c r="C42" i="2"/>
  <c r="D41" i="2"/>
  <c r="Y40" i="2"/>
  <c r="C40" i="2"/>
  <c r="U39" i="2"/>
  <c r="B39" i="2"/>
  <c r="D38" i="2"/>
  <c r="A37" i="2"/>
  <c r="A36" i="2"/>
  <c r="AJ35" i="2"/>
  <c r="AF35" i="2"/>
  <c r="AB35" i="2"/>
  <c r="A35" i="2"/>
  <c r="AJ34" i="2"/>
  <c r="AF34" i="2"/>
  <c r="AB34" i="2"/>
  <c r="A34" i="2"/>
  <c r="A33" i="2"/>
  <c r="AJ32" i="2"/>
  <c r="AF32" i="2"/>
  <c r="AB32" i="2"/>
  <c r="A32" i="2"/>
  <c r="AG31" i="2"/>
  <c r="AC31" i="2"/>
  <c r="B31" i="2"/>
  <c r="AK30" i="2"/>
  <c r="AG30" i="2"/>
  <c r="AC30" i="2"/>
  <c r="B30" i="2"/>
  <c r="B29" i="2"/>
  <c r="Y28" i="2"/>
  <c r="U28" i="2"/>
  <c r="B28" i="2"/>
  <c r="B27" i="2"/>
  <c r="C26" i="2"/>
  <c r="C25" i="2"/>
  <c r="C24" i="2"/>
  <c r="Y23" i="2"/>
  <c r="U23" i="2"/>
  <c r="A23" i="2"/>
  <c r="AI22" i="2"/>
  <c r="AE22" i="2"/>
  <c r="D22" i="2"/>
  <c r="D21" i="2"/>
  <c r="A20" i="2"/>
  <c r="A19" i="2"/>
  <c r="A18" i="2"/>
  <c r="X17" i="2"/>
  <c r="A17" i="2"/>
  <c r="B16" i="2"/>
  <c r="C15" i="2"/>
  <c r="Z14" i="2"/>
  <c r="V14" i="2"/>
  <c r="C14" i="2"/>
  <c r="C13" i="2"/>
  <c r="D12" i="2"/>
  <c r="D11" i="2"/>
  <c r="A10" i="2"/>
  <c r="A9" i="2"/>
  <c r="B8" i="2"/>
  <c r="B7" i="2"/>
  <c r="C6" i="2"/>
  <c r="D5" i="2"/>
  <c r="AM4" i="2"/>
  <c r="AI4" i="2"/>
  <c r="AE4" i="2"/>
  <c r="AA4" i="2"/>
  <c r="W4" i="2"/>
  <c r="S4" i="2"/>
  <c r="O4" i="2"/>
  <c r="K4" i="2"/>
  <c r="G4" i="2"/>
  <c r="C4" i="2"/>
  <c r="AL3" i="2"/>
  <c r="AH3" i="2"/>
  <c r="AD3" i="2"/>
  <c r="Z3" i="2"/>
  <c r="V3" i="2"/>
  <c r="R3" i="2"/>
  <c r="N3" i="2"/>
  <c r="J3" i="2"/>
  <c r="B1" i="2"/>
  <c r="B14" i="2"/>
  <c r="B13" i="2"/>
  <c r="C12" i="2"/>
  <c r="C11" i="2"/>
  <c r="D10" i="2"/>
  <c r="D9" i="2"/>
  <c r="D65" i="2"/>
  <c r="D64" i="2"/>
  <c r="D63" i="2"/>
  <c r="D62" i="2"/>
  <c r="U61" i="2"/>
  <c r="A61" i="2"/>
  <c r="A60" i="2"/>
  <c r="A59" i="2"/>
  <c r="B58" i="2"/>
  <c r="D57" i="2"/>
  <c r="A56" i="2"/>
  <c r="B55" i="2"/>
  <c r="C54" i="2"/>
  <c r="C53" i="2"/>
  <c r="D52" i="2"/>
  <c r="V51" i="2"/>
  <c r="C51" i="2"/>
  <c r="D50" i="2"/>
  <c r="A49" i="2"/>
  <c r="W48" i="2"/>
  <c r="C48" i="2"/>
  <c r="C47" i="2"/>
  <c r="Y46" i="2"/>
  <c r="D46" i="2"/>
  <c r="U45" i="2"/>
  <c r="A45" i="2"/>
  <c r="A44" i="2"/>
  <c r="A43" i="2"/>
  <c r="B42" i="2"/>
  <c r="C41" i="2"/>
  <c r="U40" i="2"/>
  <c r="B40" i="2"/>
  <c r="A39" i="2"/>
  <c r="C38" i="2"/>
  <c r="D37" i="2"/>
  <c r="D36" i="2"/>
  <c r="AM35" i="2"/>
  <c r="AI35" i="2"/>
  <c r="AE35" i="2"/>
  <c r="D35" i="2"/>
  <c r="AM34" i="2"/>
  <c r="AI34" i="2"/>
  <c r="AE34" i="2"/>
  <c r="D34" i="2"/>
  <c r="D33" i="2"/>
  <c r="AM32" i="2"/>
  <c r="AI32" i="2"/>
  <c r="AE32" i="2"/>
  <c r="D32" i="2"/>
  <c r="AM31" i="2"/>
  <c r="AF31" i="2"/>
  <c r="AB31" i="2"/>
  <c r="A31" i="2"/>
  <c r="AJ30" i="2"/>
  <c r="AF30" i="2"/>
  <c r="AB30" i="2"/>
  <c r="A30" i="2"/>
  <c r="A29" i="2"/>
  <c r="X28" i="2"/>
  <c r="A28" i="2"/>
  <c r="A27" i="2"/>
  <c r="B26" i="2"/>
  <c r="B25" i="2"/>
  <c r="B24" i="2"/>
  <c r="X23" i="2"/>
  <c r="D23" i="2"/>
  <c r="AL22" i="2"/>
  <c r="AH22" i="2"/>
  <c r="AD22" i="2"/>
  <c r="C22" i="2"/>
  <c r="C21" i="2"/>
  <c r="D20" i="2"/>
  <c r="D19" i="2"/>
  <c r="D18" i="2"/>
  <c r="AA17" i="2"/>
  <c r="W17" i="2"/>
  <c r="D17" i="2"/>
  <c r="A16" i="2"/>
  <c r="B15" i="2"/>
  <c r="Y14" i="2"/>
  <c r="U14" i="2"/>
  <c r="B64" i="2"/>
  <c r="B62" i="2"/>
  <c r="C60" i="2"/>
  <c r="D58" i="2"/>
  <c r="B57" i="2"/>
  <c r="B54" i="2"/>
  <c r="C52" i="2"/>
  <c r="B51" i="2"/>
  <c r="Y48" i="2"/>
  <c r="A48" i="2"/>
  <c r="V46" i="2"/>
  <c r="C45" i="2"/>
  <c r="C43" i="2"/>
  <c r="D40" i="2"/>
  <c r="C39" i="2"/>
  <c r="A38" i="2"/>
  <c r="C36" i="2"/>
  <c r="AH35" i="2"/>
  <c r="C35" i="2"/>
  <c r="AH34" i="2"/>
  <c r="C34" i="2"/>
  <c r="AL32" i="2"/>
  <c r="AD32" i="2"/>
  <c r="AI31" i="2"/>
  <c r="D31" i="2"/>
  <c r="AI30" i="2"/>
  <c r="D30" i="2"/>
  <c r="AA28" i="2"/>
  <c r="C27" i="2"/>
  <c r="D25" i="2"/>
  <c r="Z23" i="2"/>
  <c r="B23" i="2"/>
  <c r="AF22" i="2"/>
  <c r="A22" i="2"/>
  <c r="C20" i="2"/>
  <c r="C18" i="2"/>
  <c r="V17" i="2"/>
  <c r="B17" i="2"/>
  <c r="X14" i="2"/>
  <c r="A14" i="2"/>
  <c r="B12" i="2"/>
  <c r="C10" i="2"/>
  <c r="D8" i="2"/>
  <c r="C7" i="2"/>
  <c r="B6" i="2"/>
  <c r="B5" i="2"/>
  <c r="AJ4" i="2"/>
  <c r="AD4" i="2"/>
  <c r="Y4" i="2"/>
  <c r="T4" i="2"/>
  <c r="N4" i="2"/>
  <c r="I4" i="2"/>
  <c r="D4" i="2"/>
  <c r="AK3" i="2"/>
  <c r="AF3" i="2"/>
  <c r="AA3" i="2"/>
  <c r="U3" i="2"/>
  <c r="P3" i="2"/>
  <c r="K3" i="2"/>
  <c r="M3" i="2"/>
  <c r="V28" i="2"/>
  <c r="C16" i="2"/>
  <c r="D7" i="2"/>
  <c r="AK4" i="2"/>
  <c r="U4" i="2"/>
  <c r="E4" i="2"/>
  <c r="AB3" i="2"/>
  <c r="L3" i="2"/>
  <c r="C65" i="2"/>
  <c r="C63" i="2"/>
  <c r="D61" i="2"/>
  <c r="D59" i="2"/>
  <c r="A58" i="2"/>
  <c r="D55" i="2"/>
  <c r="A54" i="2"/>
  <c r="B52" i="2"/>
  <c r="A51" i="2"/>
  <c r="D49" i="2"/>
  <c r="V48" i="2"/>
  <c r="B47" i="2"/>
  <c r="C46" i="2"/>
  <c r="D44" i="2"/>
  <c r="B41" i="2"/>
  <c r="A40" i="2"/>
  <c r="U38" i="2"/>
  <c r="B36" i="2"/>
  <c r="AG35" i="2"/>
  <c r="B35" i="2"/>
  <c r="AG34" i="2"/>
  <c r="B34" i="2"/>
  <c r="AK32" i="2"/>
  <c r="AC32" i="2"/>
  <c r="AH31" i="2"/>
  <c r="C31" i="2"/>
  <c r="AH30" i="2"/>
  <c r="C30" i="2"/>
  <c r="Z28" i="2"/>
  <c r="D28" i="2"/>
  <c r="A25" i="2"/>
  <c r="W23" i="2"/>
  <c r="AK22" i="2"/>
  <c r="AC22" i="2"/>
  <c r="B21" i="2"/>
  <c r="B20" i="2"/>
  <c r="B18" i="2"/>
  <c r="U17" i="2"/>
  <c r="D15" i="2"/>
  <c r="W14" i="2"/>
  <c r="D13" i="2"/>
  <c r="A12" i="2"/>
  <c r="B10" i="2"/>
  <c r="C8" i="2"/>
  <c r="A7" i="2"/>
  <c r="A6" i="2"/>
  <c r="A5" i="2"/>
  <c r="AH4" i="2"/>
  <c r="AC4" i="2"/>
  <c r="X4" i="2"/>
  <c r="R4" i="2"/>
  <c r="M4" i="2"/>
  <c r="H4" i="2"/>
  <c r="B4" i="2"/>
  <c r="AJ3" i="2"/>
  <c r="AE3" i="2"/>
  <c r="Y3" i="2"/>
  <c r="T3" i="2"/>
  <c r="O3" i="2"/>
  <c r="I3" i="2"/>
  <c r="X3" i="2"/>
  <c r="H3" i="2"/>
  <c r="C29" i="2"/>
  <c r="AG22" i="2"/>
  <c r="B19" i="2"/>
  <c r="AA14" i="2"/>
  <c r="C5" i="2"/>
  <c r="J4" i="2"/>
  <c r="AG3" i="2"/>
  <c r="Q3" i="2"/>
  <c r="A3" i="2"/>
  <c r="B65" i="2"/>
  <c r="B63" i="2"/>
  <c r="C61" i="2"/>
  <c r="C59" i="2"/>
  <c r="U57" i="2"/>
  <c r="D56" i="2"/>
  <c r="A55" i="2"/>
  <c r="B53" i="2"/>
  <c r="U51" i="2"/>
  <c r="C50" i="2"/>
  <c r="C49" i="2"/>
  <c r="U48" i="2"/>
  <c r="A47" i="2"/>
  <c r="B46" i="2"/>
  <c r="C44" i="2"/>
  <c r="D42" i="2"/>
  <c r="A41" i="2"/>
  <c r="V39" i="2"/>
  <c r="C37" i="2"/>
  <c r="AL35" i="2"/>
  <c r="AD35" i="2"/>
  <c r="AL34" i="2"/>
  <c r="AD34" i="2"/>
  <c r="C33" i="2"/>
  <c r="AH32" i="2"/>
  <c r="C32" i="2"/>
  <c r="AE31" i="2"/>
  <c r="AM30" i="2"/>
  <c r="AE30" i="2"/>
  <c r="D29" i="2"/>
  <c r="W28" i="2"/>
  <c r="C28" i="2"/>
  <c r="D26" i="2"/>
  <c r="D24" i="2"/>
  <c r="V23" i="2"/>
  <c r="AJ22" i="2"/>
  <c r="AB22" i="2"/>
  <c r="A21" i="2"/>
  <c r="C19" i="2"/>
  <c r="Z17" i="2"/>
  <c r="D16" i="2"/>
  <c r="A15" i="2"/>
  <c r="A13" i="2"/>
  <c r="B11" i="2"/>
  <c r="C9" i="2"/>
  <c r="A8" i="2"/>
  <c r="AL4" i="2"/>
  <c r="AG4" i="2"/>
  <c r="AB4" i="2"/>
  <c r="V4" i="2"/>
  <c r="Q4" i="2"/>
  <c r="L4" i="2"/>
  <c r="F4" i="2"/>
  <c r="A4" i="2"/>
  <c r="AI3" i="2"/>
  <c r="AC3" i="2"/>
  <c r="S3" i="2"/>
  <c r="A24" i="2"/>
  <c r="B22" i="2"/>
  <c r="Y17" i="2"/>
  <c r="D14" i="2"/>
  <c r="A11" i="2"/>
  <c r="D6" i="2"/>
  <c r="AF4" i="2"/>
  <c r="Z4" i="2"/>
  <c r="P4" i="2"/>
  <c r="W3" i="2"/>
  <c r="C64" i="2"/>
  <c r="C62" i="2"/>
  <c r="D60" i="2"/>
  <c r="C57" i="2"/>
  <c r="C56" i="2"/>
  <c r="A53" i="2"/>
  <c r="B50" i="2"/>
  <c r="Z48" i="2"/>
  <c r="B48" i="2"/>
  <c r="W46" i="2"/>
  <c r="D45" i="2"/>
  <c r="D43" i="2"/>
  <c r="A42" i="2"/>
  <c r="D39" i="2"/>
  <c r="B38" i="2"/>
  <c r="B37" i="2"/>
  <c r="AK35" i="2"/>
  <c r="AC35" i="2"/>
  <c r="AK34" i="2"/>
  <c r="AC34" i="2"/>
  <c r="B33" i="2"/>
  <c r="AG32" i="2"/>
  <c r="B32" i="2"/>
  <c r="AD31" i="2"/>
  <c r="AL30" i="2"/>
  <c r="AD30" i="2"/>
  <c r="D27" i="2"/>
  <c r="A26" i="2"/>
  <c r="C23" i="2"/>
  <c r="C17" i="2"/>
  <c r="B9" i="2"/>
  <c r="AM3" i="2"/>
</calcChain>
</file>

<file path=xl/sharedStrings.xml><?xml version="1.0" encoding="utf-8"?>
<sst xmlns="http://schemas.openxmlformats.org/spreadsheetml/2006/main" count="102" uniqueCount="51">
  <si>
    <t>SKU</t>
  </si>
  <si>
    <t/>
  </si>
  <si>
    <t>Water-Line Stealth Black</t>
  </si>
  <si>
    <t>George Fire-Line White Sand</t>
  </si>
  <si>
    <t>Water-Line Navy Blue</t>
  </si>
  <si>
    <t>George Fire-Line Blue Night</t>
  </si>
  <si>
    <t>George Fire-line Desert Rose</t>
  </si>
  <si>
    <t>George Blazing Stracciatella</t>
  </si>
  <si>
    <t>LU1 Liquorice Black</t>
  </si>
  <si>
    <t>George Pink Lightning</t>
  </si>
  <si>
    <t>George Sandy Bordeaux</t>
  </si>
  <si>
    <t>LU1 Stracciatella</t>
  </si>
  <si>
    <t>George Coastal Cabana</t>
  </si>
  <si>
    <t>AU1 Soft Stone</t>
  </si>
  <si>
    <t>George White Stracciatella</t>
  </si>
  <si>
    <t>George Fire-Line Stealth Black</t>
  </si>
  <si>
    <t>SU1 Tumble Grey</t>
  </si>
  <si>
    <t>George F Fur Navy</t>
  </si>
  <si>
    <t>George Stick Up</t>
  </si>
  <si>
    <t>George Deep Sea</t>
  </si>
  <si>
    <t>George Desert Haze</t>
  </si>
  <si>
    <t>Water-Line Red</t>
  </si>
  <si>
    <t>George Stracciatella</t>
  </si>
  <si>
    <t>Water-Line Mint</t>
  </si>
  <si>
    <t>George Liquorice Black</t>
  </si>
  <si>
    <t>Water-Line Black</t>
  </si>
  <si>
    <t>Earth-Line Black</t>
  </si>
  <si>
    <t>Water-Line Mustard</t>
  </si>
  <si>
    <t>Water-Line Taupe</t>
  </si>
  <si>
    <t>George Sunset Sky</t>
  </si>
  <si>
    <t>Fire-Line Lime / Flame / Black</t>
  </si>
  <si>
    <t>Earth-Line Navy Blue / Cream</t>
  </si>
  <si>
    <t>1.1.01.11</t>
  </si>
  <si>
    <t>George Navy Peach</t>
  </si>
  <si>
    <t>Water-Line White</t>
  </si>
  <si>
    <t>Ballerina D'oro</t>
  </si>
  <si>
    <t>LU2 Black Moon</t>
  </si>
  <si>
    <t>SW1 Wave</t>
  </si>
  <si>
    <t>Earth-Line Royal Blue / Silver</t>
  </si>
  <si>
    <t>LW1 Light Salmon</t>
  </si>
  <si>
    <t>Hiker Stracciatella</t>
  </si>
  <si>
    <t>LU1 White Beach</t>
  </si>
  <si>
    <t>LU1 Soft Triangulum</t>
  </si>
  <si>
    <t>LU1 Blue Triangulum</t>
  </si>
  <si>
    <t>LW1 Cloudy Velvet</t>
  </si>
  <si>
    <t>Earth-Line Black Croco</t>
  </si>
  <si>
    <t>Description</t>
  </si>
  <si>
    <t>Photo</t>
  </si>
  <si>
    <t>RRP</t>
  </si>
  <si>
    <t>WHS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</si>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</sst>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7">
    <font>
      <sz val="10"/>
      <color rgb="FF000000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9"/>
      <color indexed="8"/>
      <name val="&quot;Google Sans Mono&quot;"/>
    </font>
    <font>
      <sz val="11"/>
      <color indexed="63"/>
      <name val="-apple-system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49" fontId="1" fillId="0" borderId="0" xfId="0" applyNumberFormat="1" applyFont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47625</xdr:rowOff>
    </xdr:from>
    <xdr:to>
      <xdr:col>2</xdr:col>
      <xdr:colOff>885825</xdr:colOff>
      <xdr:row>1</xdr:row>
      <xdr:rowOff>657225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752475"/>
          <a:ext cx="809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</xdr:row>
      <xdr:rowOff>47625</xdr:rowOff>
    </xdr:from>
    <xdr:to>
      <xdr:col>2</xdr:col>
      <xdr:colOff>885825</xdr:colOff>
      <xdr:row>2</xdr:row>
      <xdr:rowOff>666750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90775" y="1495425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</xdr:row>
      <xdr:rowOff>38100</xdr:rowOff>
    </xdr:from>
    <xdr:to>
      <xdr:col>2</xdr:col>
      <xdr:colOff>847725</xdr:colOff>
      <xdr:row>3</xdr:row>
      <xdr:rowOff>638175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1250" y="2181225"/>
          <a:ext cx="790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4</xdr:row>
      <xdr:rowOff>76200</xdr:rowOff>
    </xdr:from>
    <xdr:to>
      <xdr:col>2</xdr:col>
      <xdr:colOff>847725</xdr:colOff>
      <xdr:row>4</xdr:row>
      <xdr:rowOff>657225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90775" y="2914650"/>
          <a:ext cx="7810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5</xdr:row>
      <xdr:rowOff>28575</xdr:rowOff>
    </xdr:from>
    <xdr:to>
      <xdr:col>2</xdr:col>
      <xdr:colOff>885825</xdr:colOff>
      <xdr:row>5</xdr:row>
      <xdr:rowOff>666750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81250" y="3562350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6</xdr:row>
      <xdr:rowOff>28575</xdr:rowOff>
    </xdr:from>
    <xdr:to>
      <xdr:col>2</xdr:col>
      <xdr:colOff>885825</xdr:colOff>
      <xdr:row>6</xdr:row>
      <xdr:rowOff>666750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81250" y="4257675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7</xdr:row>
      <xdr:rowOff>38100</xdr:rowOff>
    </xdr:from>
    <xdr:to>
      <xdr:col>2</xdr:col>
      <xdr:colOff>885825</xdr:colOff>
      <xdr:row>7</xdr:row>
      <xdr:rowOff>676275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81250" y="4962525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8</xdr:row>
      <xdr:rowOff>28575</xdr:rowOff>
    </xdr:from>
    <xdr:to>
      <xdr:col>2</xdr:col>
      <xdr:colOff>885825</xdr:colOff>
      <xdr:row>8</xdr:row>
      <xdr:rowOff>666750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81250" y="5648325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10</xdr:row>
      <xdr:rowOff>28575</xdr:rowOff>
    </xdr:from>
    <xdr:to>
      <xdr:col>2</xdr:col>
      <xdr:colOff>885825</xdr:colOff>
      <xdr:row>10</xdr:row>
      <xdr:rowOff>666750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0" y="7038975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11</xdr:row>
      <xdr:rowOff>28575</xdr:rowOff>
    </xdr:from>
    <xdr:to>
      <xdr:col>2</xdr:col>
      <xdr:colOff>885825</xdr:colOff>
      <xdr:row>11</xdr:row>
      <xdr:rowOff>666750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81250" y="7734300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12</xdr:row>
      <xdr:rowOff>47625</xdr:rowOff>
    </xdr:from>
    <xdr:to>
      <xdr:col>2</xdr:col>
      <xdr:colOff>885825</xdr:colOff>
      <xdr:row>12</xdr:row>
      <xdr:rowOff>695325</xdr:rowOff>
    </xdr:to>
    <xdr:pic>
      <xdr:nvPicPr>
        <xdr:cNvPr id="1035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81250" y="844867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13</xdr:row>
      <xdr:rowOff>66675</xdr:rowOff>
    </xdr:from>
    <xdr:to>
      <xdr:col>2</xdr:col>
      <xdr:colOff>885825</xdr:colOff>
      <xdr:row>13</xdr:row>
      <xdr:rowOff>704850</xdr:rowOff>
    </xdr:to>
    <xdr:pic>
      <xdr:nvPicPr>
        <xdr:cNvPr id="1036" name="Pictur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81250" y="9163050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14</xdr:row>
      <xdr:rowOff>66675</xdr:rowOff>
    </xdr:from>
    <xdr:to>
      <xdr:col>2</xdr:col>
      <xdr:colOff>885825</xdr:colOff>
      <xdr:row>14</xdr:row>
      <xdr:rowOff>704850</xdr:rowOff>
    </xdr:to>
    <xdr:pic>
      <xdr:nvPicPr>
        <xdr:cNvPr id="1037" name="Pictur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81250" y="9858375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15</xdr:row>
      <xdr:rowOff>47625</xdr:rowOff>
    </xdr:from>
    <xdr:to>
      <xdr:col>2</xdr:col>
      <xdr:colOff>885825</xdr:colOff>
      <xdr:row>15</xdr:row>
      <xdr:rowOff>695325</xdr:rowOff>
    </xdr:to>
    <xdr:pic>
      <xdr:nvPicPr>
        <xdr:cNvPr id="1038" name="Pictur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81250" y="1053465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885825</xdr:colOff>
      <xdr:row>16</xdr:row>
      <xdr:rowOff>638175</xdr:rowOff>
    </xdr:to>
    <xdr:pic>
      <xdr:nvPicPr>
        <xdr:cNvPr id="1039" name="Pictur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381250" y="11182350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17</xdr:row>
      <xdr:rowOff>47625</xdr:rowOff>
    </xdr:from>
    <xdr:to>
      <xdr:col>2</xdr:col>
      <xdr:colOff>885825</xdr:colOff>
      <xdr:row>17</xdr:row>
      <xdr:rowOff>695325</xdr:rowOff>
    </xdr:to>
    <xdr:pic>
      <xdr:nvPicPr>
        <xdr:cNvPr id="1040" name="Pictur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381250" y="119253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18</xdr:row>
      <xdr:rowOff>38100</xdr:rowOff>
    </xdr:from>
    <xdr:to>
      <xdr:col>2</xdr:col>
      <xdr:colOff>885825</xdr:colOff>
      <xdr:row>18</xdr:row>
      <xdr:rowOff>657225</xdr:rowOff>
    </xdr:to>
    <xdr:pic>
      <xdr:nvPicPr>
        <xdr:cNvPr id="1041" name="Pictur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33625" y="12611100"/>
          <a:ext cx="876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19</xdr:row>
      <xdr:rowOff>66675</xdr:rowOff>
    </xdr:from>
    <xdr:to>
      <xdr:col>2</xdr:col>
      <xdr:colOff>885825</xdr:colOff>
      <xdr:row>19</xdr:row>
      <xdr:rowOff>704850</xdr:rowOff>
    </xdr:to>
    <xdr:pic>
      <xdr:nvPicPr>
        <xdr:cNvPr id="1042" name="Picture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381250" y="13335000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20</xdr:row>
      <xdr:rowOff>85725</xdr:rowOff>
    </xdr:from>
    <xdr:to>
      <xdr:col>2</xdr:col>
      <xdr:colOff>885825</xdr:colOff>
      <xdr:row>20</xdr:row>
      <xdr:rowOff>733425</xdr:rowOff>
    </xdr:to>
    <xdr:pic>
      <xdr:nvPicPr>
        <xdr:cNvPr id="1043" name="Picture 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381250" y="14049375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21</xdr:row>
      <xdr:rowOff>85725</xdr:rowOff>
    </xdr:from>
    <xdr:to>
      <xdr:col>2</xdr:col>
      <xdr:colOff>885825</xdr:colOff>
      <xdr:row>21</xdr:row>
      <xdr:rowOff>733425</xdr:rowOff>
    </xdr:to>
    <xdr:pic>
      <xdr:nvPicPr>
        <xdr:cNvPr id="1044" name="Picture 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381250" y="1474470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22</xdr:row>
      <xdr:rowOff>85725</xdr:rowOff>
    </xdr:from>
    <xdr:to>
      <xdr:col>2</xdr:col>
      <xdr:colOff>885825</xdr:colOff>
      <xdr:row>22</xdr:row>
      <xdr:rowOff>733425</xdr:rowOff>
    </xdr:to>
    <xdr:pic>
      <xdr:nvPicPr>
        <xdr:cNvPr id="1045" name="Picture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381250" y="15440025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23</xdr:row>
      <xdr:rowOff>85725</xdr:rowOff>
    </xdr:from>
    <xdr:to>
      <xdr:col>2</xdr:col>
      <xdr:colOff>885825</xdr:colOff>
      <xdr:row>23</xdr:row>
      <xdr:rowOff>733425</xdr:rowOff>
    </xdr:to>
    <xdr:pic>
      <xdr:nvPicPr>
        <xdr:cNvPr id="1046" name="Picture 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0" y="1613535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24</xdr:row>
      <xdr:rowOff>85725</xdr:rowOff>
    </xdr:from>
    <xdr:to>
      <xdr:col>2</xdr:col>
      <xdr:colOff>885825</xdr:colOff>
      <xdr:row>24</xdr:row>
      <xdr:rowOff>733425</xdr:rowOff>
    </xdr:to>
    <xdr:pic>
      <xdr:nvPicPr>
        <xdr:cNvPr id="1047" name="Picture 2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381250" y="16830675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25</xdr:row>
      <xdr:rowOff>85725</xdr:rowOff>
    </xdr:from>
    <xdr:to>
      <xdr:col>2</xdr:col>
      <xdr:colOff>885825</xdr:colOff>
      <xdr:row>25</xdr:row>
      <xdr:rowOff>733425</xdr:rowOff>
    </xdr:to>
    <xdr:pic>
      <xdr:nvPicPr>
        <xdr:cNvPr id="1048" name="Picture 2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381250" y="1752600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26</xdr:row>
      <xdr:rowOff>85725</xdr:rowOff>
    </xdr:from>
    <xdr:to>
      <xdr:col>2</xdr:col>
      <xdr:colOff>885825</xdr:colOff>
      <xdr:row>26</xdr:row>
      <xdr:rowOff>733425</xdr:rowOff>
    </xdr:to>
    <xdr:pic>
      <xdr:nvPicPr>
        <xdr:cNvPr id="1049" name="Picture 2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81250" y="18221325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27</xdr:row>
      <xdr:rowOff>76200</xdr:rowOff>
    </xdr:from>
    <xdr:to>
      <xdr:col>2</xdr:col>
      <xdr:colOff>885825</xdr:colOff>
      <xdr:row>27</xdr:row>
      <xdr:rowOff>714375</xdr:rowOff>
    </xdr:to>
    <xdr:pic>
      <xdr:nvPicPr>
        <xdr:cNvPr id="1050" name="Picture 2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371725" y="18907125"/>
          <a:ext cx="8382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28</xdr:row>
      <xdr:rowOff>66675</xdr:rowOff>
    </xdr:from>
    <xdr:to>
      <xdr:col>2</xdr:col>
      <xdr:colOff>885825</xdr:colOff>
      <xdr:row>28</xdr:row>
      <xdr:rowOff>704850</xdr:rowOff>
    </xdr:to>
    <xdr:pic>
      <xdr:nvPicPr>
        <xdr:cNvPr id="1051" name="Picture 2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381250" y="19592925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29</xdr:row>
      <xdr:rowOff>76200</xdr:rowOff>
    </xdr:from>
    <xdr:to>
      <xdr:col>2</xdr:col>
      <xdr:colOff>885825</xdr:colOff>
      <xdr:row>29</xdr:row>
      <xdr:rowOff>714375</xdr:rowOff>
    </xdr:to>
    <xdr:pic>
      <xdr:nvPicPr>
        <xdr:cNvPr id="1052" name="Picture 2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0" y="20297775"/>
          <a:ext cx="828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30</xdr:row>
      <xdr:rowOff>66675</xdr:rowOff>
    </xdr:from>
    <xdr:to>
      <xdr:col>2</xdr:col>
      <xdr:colOff>885825</xdr:colOff>
      <xdr:row>30</xdr:row>
      <xdr:rowOff>704850</xdr:rowOff>
    </xdr:to>
    <xdr:pic>
      <xdr:nvPicPr>
        <xdr:cNvPr id="1053" name="Picture 3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381250" y="20983575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31</xdr:row>
      <xdr:rowOff>66675</xdr:rowOff>
    </xdr:from>
    <xdr:to>
      <xdr:col>2</xdr:col>
      <xdr:colOff>885825</xdr:colOff>
      <xdr:row>31</xdr:row>
      <xdr:rowOff>704850</xdr:rowOff>
    </xdr:to>
    <xdr:pic>
      <xdr:nvPicPr>
        <xdr:cNvPr id="1054" name="Picture 3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381250" y="21678900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32</xdr:row>
      <xdr:rowOff>47625</xdr:rowOff>
    </xdr:from>
    <xdr:to>
      <xdr:col>2</xdr:col>
      <xdr:colOff>885825</xdr:colOff>
      <xdr:row>32</xdr:row>
      <xdr:rowOff>695325</xdr:rowOff>
    </xdr:to>
    <xdr:pic>
      <xdr:nvPicPr>
        <xdr:cNvPr id="1055" name="Picture 3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381250" y="2235517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33</xdr:row>
      <xdr:rowOff>47625</xdr:rowOff>
    </xdr:from>
    <xdr:to>
      <xdr:col>2</xdr:col>
      <xdr:colOff>885825</xdr:colOff>
      <xdr:row>33</xdr:row>
      <xdr:rowOff>695325</xdr:rowOff>
    </xdr:to>
    <xdr:pic>
      <xdr:nvPicPr>
        <xdr:cNvPr id="1056" name="Picture 3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381250" y="230505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34</xdr:row>
      <xdr:rowOff>47625</xdr:rowOff>
    </xdr:from>
    <xdr:to>
      <xdr:col>2</xdr:col>
      <xdr:colOff>885825</xdr:colOff>
      <xdr:row>34</xdr:row>
      <xdr:rowOff>695325</xdr:rowOff>
    </xdr:to>
    <xdr:pic>
      <xdr:nvPicPr>
        <xdr:cNvPr id="1057" name="Picture 3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381250" y="2374582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35</xdr:row>
      <xdr:rowOff>47625</xdr:rowOff>
    </xdr:from>
    <xdr:to>
      <xdr:col>2</xdr:col>
      <xdr:colOff>885825</xdr:colOff>
      <xdr:row>35</xdr:row>
      <xdr:rowOff>695325</xdr:rowOff>
    </xdr:to>
    <xdr:pic>
      <xdr:nvPicPr>
        <xdr:cNvPr id="1058" name="Picture 3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381250" y="2444115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36</xdr:row>
      <xdr:rowOff>47625</xdr:rowOff>
    </xdr:from>
    <xdr:to>
      <xdr:col>2</xdr:col>
      <xdr:colOff>885825</xdr:colOff>
      <xdr:row>36</xdr:row>
      <xdr:rowOff>695325</xdr:rowOff>
    </xdr:to>
    <xdr:pic>
      <xdr:nvPicPr>
        <xdr:cNvPr id="1059" name="Picture 3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381250" y="2513647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37</xdr:row>
      <xdr:rowOff>47625</xdr:rowOff>
    </xdr:from>
    <xdr:to>
      <xdr:col>2</xdr:col>
      <xdr:colOff>885825</xdr:colOff>
      <xdr:row>37</xdr:row>
      <xdr:rowOff>695325</xdr:rowOff>
    </xdr:to>
    <xdr:pic>
      <xdr:nvPicPr>
        <xdr:cNvPr id="1060" name="Picture 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81250" y="258318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38</xdr:row>
      <xdr:rowOff>47625</xdr:rowOff>
    </xdr:from>
    <xdr:to>
      <xdr:col>2</xdr:col>
      <xdr:colOff>885825</xdr:colOff>
      <xdr:row>38</xdr:row>
      <xdr:rowOff>695325</xdr:rowOff>
    </xdr:to>
    <xdr:pic>
      <xdr:nvPicPr>
        <xdr:cNvPr id="1061" name="Picture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381250" y="2652712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39</xdr:row>
      <xdr:rowOff>76200</xdr:rowOff>
    </xdr:from>
    <xdr:to>
      <xdr:col>2</xdr:col>
      <xdr:colOff>885825</xdr:colOff>
      <xdr:row>39</xdr:row>
      <xdr:rowOff>714375</xdr:rowOff>
    </xdr:to>
    <xdr:pic>
      <xdr:nvPicPr>
        <xdr:cNvPr id="1062" name="Picture 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381250" y="27251025"/>
          <a:ext cx="828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40</xdr:row>
      <xdr:rowOff>47625</xdr:rowOff>
    </xdr:from>
    <xdr:to>
      <xdr:col>2</xdr:col>
      <xdr:colOff>885825</xdr:colOff>
      <xdr:row>40</xdr:row>
      <xdr:rowOff>695325</xdr:rowOff>
    </xdr:to>
    <xdr:pic>
      <xdr:nvPicPr>
        <xdr:cNvPr id="1063" name="Picture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81250" y="2791777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41</xdr:row>
      <xdr:rowOff>47625</xdr:rowOff>
    </xdr:from>
    <xdr:to>
      <xdr:col>2</xdr:col>
      <xdr:colOff>885825</xdr:colOff>
      <xdr:row>41</xdr:row>
      <xdr:rowOff>695325</xdr:rowOff>
    </xdr:to>
    <xdr:pic>
      <xdr:nvPicPr>
        <xdr:cNvPr id="1064" name="Picture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381250" y="2861310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42</xdr:row>
      <xdr:rowOff>47625</xdr:rowOff>
    </xdr:from>
    <xdr:to>
      <xdr:col>2</xdr:col>
      <xdr:colOff>885825</xdr:colOff>
      <xdr:row>42</xdr:row>
      <xdr:rowOff>695325</xdr:rowOff>
    </xdr:to>
    <xdr:pic>
      <xdr:nvPicPr>
        <xdr:cNvPr id="1065" name="Picture 4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81250" y="29308425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44</xdr:row>
      <xdr:rowOff>104775</xdr:rowOff>
    </xdr:from>
    <xdr:to>
      <xdr:col>2</xdr:col>
      <xdr:colOff>885825</xdr:colOff>
      <xdr:row>44</xdr:row>
      <xdr:rowOff>742950</xdr:rowOff>
    </xdr:to>
    <xdr:pic>
      <xdr:nvPicPr>
        <xdr:cNvPr id="1066" name="Picture 4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30756225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43</xdr:row>
      <xdr:rowOff>47625</xdr:rowOff>
    </xdr:from>
    <xdr:to>
      <xdr:col>2</xdr:col>
      <xdr:colOff>885825</xdr:colOff>
      <xdr:row>43</xdr:row>
      <xdr:rowOff>695325</xdr:rowOff>
    </xdr:to>
    <xdr:pic>
      <xdr:nvPicPr>
        <xdr:cNvPr id="1067" name="Picture 4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381250" y="30003750"/>
          <a:ext cx="8286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9</xdr:row>
      <xdr:rowOff>38100</xdr:rowOff>
    </xdr:from>
    <xdr:to>
      <xdr:col>2</xdr:col>
      <xdr:colOff>857250</xdr:colOff>
      <xdr:row>9</xdr:row>
      <xdr:rowOff>685800</xdr:rowOff>
    </xdr:to>
    <xdr:pic>
      <xdr:nvPicPr>
        <xdr:cNvPr id="1068" name="Picture 4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62200" y="6353175"/>
          <a:ext cx="8191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dn.shopify.com/s/files/1/0072/5431/0975/products/gnl00293-Edit-web.jpg?v=1694686485" TargetMode="External"/><Relationship Id="rId18" Type="http://schemas.openxmlformats.org/officeDocument/2006/relationships/hyperlink" Target="https://cdn.shopify.com/s/files/1/0072/5431/0975/files/George_DeepFrost_01-jpeg2000px.jpg?v=1722537189" TargetMode="External"/><Relationship Id="rId26" Type="http://schemas.openxmlformats.org/officeDocument/2006/relationships/hyperlink" Target="https://cdn.shopify.com/s/files/1/0072/5431/0975/files/George_FireLine_TwighlightSky_01-jpeg2000px.jpg?v=1723538377" TargetMode="External"/><Relationship Id="rId39" Type="http://schemas.openxmlformats.org/officeDocument/2006/relationships/hyperlink" Target="https://cdn.shopify.com/s/files/1/0072/5431/0975/products/GnL_U_01_3.jpg?v=1582319161" TargetMode="External"/><Relationship Id="rId21" Type="http://schemas.openxmlformats.org/officeDocument/2006/relationships/hyperlink" Target="https://cdn.shopify.com/s/files/1/0072/5431/0975/files/SU1_DeepSea_01-jpeg2000px_0cd3a54d-dc1f-4562-bda1-237e60bedf33.jpg?v=1720694677" TargetMode="External"/><Relationship Id="rId34" Type="http://schemas.openxmlformats.org/officeDocument/2006/relationships/hyperlink" Target="https://cdn.shopify.com/s/files/1/0072/5431/0975/products/GnL_W_13_3.jpg?v=1582311419" TargetMode="External"/><Relationship Id="rId42" Type="http://schemas.openxmlformats.org/officeDocument/2006/relationships/hyperlink" Target="https://cdn.shopify.com/s/files/1/0072/5431/0975/products/gnl00300-Edit-Edit-web.jpg?v=1694686968" TargetMode="External"/><Relationship Id="rId47" Type="http://schemas.openxmlformats.org/officeDocument/2006/relationships/hyperlink" Target="https://cdn.shopify.com/s/files/1/0072/5431/0975/products/GnL_W_07_3.jpg?v=1582313630" TargetMode="External"/><Relationship Id="rId50" Type="http://schemas.openxmlformats.org/officeDocument/2006/relationships/hyperlink" Target="https://cdn.shopify.com/s/files/1/0072/5431/0975/products/GnL_SS18_04_3.jpg?v=1582317934" TargetMode="External"/><Relationship Id="rId55" Type="http://schemas.openxmlformats.org/officeDocument/2006/relationships/hyperlink" Target="https://cdn.shopify.com/s/files/1/0072/5431/0975/products/GnL_SS18_07_3.jpg?v=1582318565" TargetMode="External"/><Relationship Id="rId7" Type="http://schemas.openxmlformats.org/officeDocument/2006/relationships/hyperlink" Target="https://cdn.shopify.com/s/files/1/0072/5431/0975/files/George_BlueMoon_01_-_jpeg_2000px.jpg?v=1720688878" TargetMode="External"/><Relationship Id="rId2" Type="http://schemas.openxmlformats.org/officeDocument/2006/relationships/hyperlink" Target="https://cdn.shopify.com/s/files/1/0072/5431/0975/files/George_FireLine_WhiteSand_01_-_jpeg_2000px.jpg?v=1720688720" TargetMode="External"/><Relationship Id="rId16" Type="http://schemas.openxmlformats.org/officeDocument/2006/relationships/hyperlink" Target="https://cdn.shopify.com/s/files/1/0072/5431/0975/files/GLFS2_d6aa5672-fcd3-4df6-930f-ff0c35073a98.png?v=1713268355" TargetMode="External"/><Relationship Id="rId20" Type="http://schemas.openxmlformats.org/officeDocument/2006/relationships/hyperlink" Target="https://cdn.shopify.com/s/files/1/0072/5431/0975/products/gnl00233-Edit-web.jpg?v=1694780888" TargetMode="External"/><Relationship Id="rId29" Type="http://schemas.openxmlformats.org/officeDocument/2006/relationships/hyperlink" Target="https://cdn.shopify.com/s/files/1/0072/5431/0975/files/George_Stracciatella_01_-_jpeg_2000px.jpg?v=1720684288" TargetMode="External"/><Relationship Id="rId41" Type="http://schemas.openxmlformats.org/officeDocument/2006/relationships/hyperlink" Target="https://cdn.shopify.com/s/files/1/0072/5431/0975/products/GnL_W_01_3.jpg?v=1582312187" TargetMode="External"/><Relationship Id="rId54" Type="http://schemas.openxmlformats.org/officeDocument/2006/relationships/hyperlink" Target="https://cdn.shopify.com/s/files/1/0072/5431/0975/products/GnL_W_08_3.jpg?v=1582313792" TargetMode="External"/><Relationship Id="rId1" Type="http://schemas.openxmlformats.org/officeDocument/2006/relationships/hyperlink" Target="https://cdn.shopify.com/s/files/1/0072/5431/0975/files/WaterLine_StealthBlack_01-jpeg2000px.jpg?v=1720016699" TargetMode="External"/><Relationship Id="rId6" Type="http://schemas.openxmlformats.org/officeDocument/2006/relationships/hyperlink" Target="https://cdn.shopify.com/s/files/1/0072/5431/0975/files/GFL4.png?v=1713288202" TargetMode="External"/><Relationship Id="rId11" Type="http://schemas.openxmlformats.org/officeDocument/2006/relationships/hyperlink" Target="https://cdn.shopify.com/s/files/1/0072/5431/0975/products/gnl00288-Edit-web.jpg?v=1694685816" TargetMode="External"/><Relationship Id="rId24" Type="http://schemas.openxmlformats.org/officeDocument/2006/relationships/hyperlink" Target="https://cdn.shopify.com/s/files/1/0072/5431/0975/products/gnl00294-Edit-web.jpg?v=1694686467" TargetMode="External"/><Relationship Id="rId32" Type="http://schemas.openxmlformats.org/officeDocument/2006/relationships/hyperlink" Target="https://cdn.shopify.com/s/files/1/0072/5431/0975/files/check123.png?v=1712244719" TargetMode="External"/><Relationship Id="rId37" Type="http://schemas.openxmlformats.org/officeDocument/2006/relationships/hyperlink" Target="https://cdn.shopify.com/s/files/1/0072/5431/0975/files/wl_beige_side_2.png?v=1712244273" TargetMode="External"/><Relationship Id="rId40" Type="http://schemas.openxmlformats.org/officeDocument/2006/relationships/hyperlink" Target="https://cdn.shopify.com/s/files/1/0072/5431/0975/products/GnL_Herbst20_01_3.jpg?v=1616575789" TargetMode="External"/><Relationship Id="rId45" Type="http://schemas.openxmlformats.org/officeDocument/2006/relationships/hyperlink" Target="https://cdn.shopify.com/s/files/1/0072/5431/0975/products/GnL_FW19_01_3.jpg?v=1582319645" TargetMode="External"/><Relationship Id="rId53" Type="http://schemas.openxmlformats.org/officeDocument/2006/relationships/hyperlink" Target="https://cdn.shopify.com/s/files/1/0072/5431/0975/products/GnL_FW17_07_3.jpg?v=1582316821" TargetMode="External"/><Relationship Id="rId58" Type="http://schemas.openxmlformats.org/officeDocument/2006/relationships/hyperlink" Target="https://cdn.shopify.com/s/files/1/0072/5431/0975/products/GnL_W_09_3.jpg?v=1582303789" TargetMode="External"/><Relationship Id="rId5" Type="http://schemas.openxmlformats.org/officeDocument/2006/relationships/hyperlink" Target="https://cdn.shopify.com/s/files/1/0072/5431/0975/files/George_IceWhite_01_-_jpeg_2000px_2.jpg?v=1720693257" TargetMode="External"/><Relationship Id="rId15" Type="http://schemas.openxmlformats.org/officeDocument/2006/relationships/hyperlink" Target="https://cdn.shopify.com/s/files/1/0072/5431/0975/products/gnl00298-Edit-Edit-web.jpg?v=1694685644" TargetMode="External"/><Relationship Id="rId23" Type="http://schemas.openxmlformats.org/officeDocument/2006/relationships/hyperlink" Target="https://cdn.shopify.com/s/files/1/0072/5431/0975/files/George_CliniqueLaPrairie_01_-_jpeg_2000px.jpg?v=1720692964" TargetMode="External"/><Relationship Id="rId28" Type="http://schemas.openxmlformats.org/officeDocument/2006/relationships/hyperlink" Target="https://cdn.shopify.com/s/files/1/0072/5431/0975/files/George_FireLine_BeachBreeze_01-jpeg2000px_1.jpg?v=1723554209" TargetMode="External"/><Relationship Id="rId36" Type="http://schemas.openxmlformats.org/officeDocument/2006/relationships/hyperlink" Target="https://cdn.shopify.com/s/files/1/0072/5431/0975/products/GnL_W_11_3.jpg?v=1582310609" TargetMode="External"/><Relationship Id="rId49" Type="http://schemas.openxmlformats.org/officeDocument/2006/relationships/hyperlink" Target="https://cdn.shopify.com/s/files/1/0072/5431/0975/products/GnL_Hiker_01_3.jpg?v=1597223745" TargetMode="External"/><Relationship Id="rId57" Type="http://schemas.openxmlformats.org/officeDocument/2006/relationships/hyperlink" Target="https://cdn.shopify.com/s/files/1/0072/5431/0975/products/GnL_FW17_08_3.jpg?v=1582316977" TargetMode="External"/><Relationship Id="rId61" Type="http://schemas.openxmlformats.org/officeDocument/2006/relationships/hyperlink" Target="https://cdn.shopify.com/s/files/1/0072/5431/0975/products/GnL_FW20_01_3.jpg?v=1582320294" TargetMode="External"/><Relationship Id="rId10" Type="http://schemas.openxmlformats.org/officeDocument/2006/relationships/hyperlink" Target="https://cdn.shopify.com/s/files/1/0072/5431/0975/products/gnl00236-web.jpg?v=1694780874" TargetMode="External"/><Relationship Id="rId19" Type="http://schemas.openxmlformats.org/officeDocument/2006/relationships/hyperlink" Target="https://cdn.shopify.com/s/files/1/0072/5431/0975/products/gnl00286-Edit-web.jpg?v=1694686500" TargetMode="External"/><Relationship Id="rId31" Type="http://schemas.openxmlformats.org/officeDocument/2006/relationships/hyperlink" Target="https://cdn.shopify.com/s/files/1/0072/5431/0975/files/George_FireLine_DeepBlack_01-jpeg2000px.jpg?v=1722537151" TargetMode="External"/><Relationship Id="rId44" Type="http://schemas.openxmlformats.org/officeDocument/2006/relationships/hyperlink" Target="https://cdn.shopify.com/s/files/1/0072/5431/0975/products/GnL_Ballerina_02_3.jpg?v=1601042368" TargetMode="External"/><Relationship Id="rId52" Type="http://schemas.openxmlformats.org/officeDocument/2006/relationships/hyperlink" Target="https://cdn.shopify.com/s/files/1/0072/5431/0975/products/GnL_SS18_03_3.jpg?v=1582317739" TargetMode="External"/><Relationship Id="rId60" Type="http://schemas.openxmlformats.org/officeDocument/2006/relationships/hyperlink" Target="https://cdn.shopify.com/s/files/1/0072/5431/0975/products/GnL_Hiker_02_3.jpg?v=1597225280" TargetMode="External"/><Relationship Id="rId4" Type="http://schemas.openxmlformats.org/officeDocument/2006/relationships/hyperlink" Target="https://cdn.shopify.com/s/files/1/0072/5431/0975/files/George_FireLine_BlueNight_01_-_jpeg_2000px.jpg?v=1720688782" TargetMode="External"/><Relationship Id="rId9" Type="http://schemas.openxmlformats.org/officeDocument/2006/relationships/hyperlink" Target="https://cdn.shopify.com/s/files/1/0072/5431/0975/files/LU1_LiquoriceBlack_01_-_jpeg_2000px.jpg?v=1720688538" TargetMode="External"/><Relationship Id="rId14" Type="http://schemas.openxmlformats.org/officeDocument/2006/relationships/hyperlink" Target="https://cdn.shopify.com/s/files/1/0072/5431/0975/files/AU1_SoftStone_01-jpeg2000px.jpg?v=1720682784" TargetMode="External"/><Relationship Id="rId22" Type="http://schemas.openxmlformats.org/officeDocument/2006/relationships/hyperlink" Target="https://cdn.shopify.com/s/files/1/0072/5431/0975/files/GeorgeDeepSeasideShopify.jpg?v=1699531492" TargetMode="External"/><Relationship Id="rId27" Type="http://schemas.openxmlformats.org/officeDocument/2006/relationships/hyperlink" Target="https://cdn.shopify.com/s/files/1/0072/5431/0975/files/George_AlmondHaze_01-jpeg2000px.jpg?v=1722535932" TargetMode="External"/><Relationship Id="rId30" Type="http://schemas.openxmlformats.org/officeDocument/2006/relationships/hyperlink" Target="https://cdn.shopify.com/s/files/1/0072/5431/0975/files/George_FireLine_NightChocolate_01-jpeg2000px.jpg?v=1722536102" TargetMode="External"/><Relationship Id="rId35" Type="http://schemas.openxmlformats.org/officeDocument/2006/relationships/hyperlink" Target="https://cdn.shopify.com/s/files/1/0072/5431/0975/products/GnL_W_02_3_02.jpg?v=1582312603" TargetMode="External"/><Relationship Id="rId43" Type="http://schemas.openxmlformats.org/officeDocument/2006/relationships/hyperlink" Target="https://cdn.shopify.com/s/files/1/0072/5431/0975/files/1check1.png?v=1712245002" TargetMode="External"/><Relationship Id="rId48" Type="http://schemas.openxmlformats.org/officeDocument/2006/relationships/hyperlink" Target="https://cdn.shopify.com/s/files/1/0072/5431/0975/products/GnL_FW17_06_3.jpg?v=1582316651" TargetMode="External"/><Relationship Id="rId56" Type="http://schemas.openxmlformats.org/officeDocument/2006/relationships/hyperlink" Target="https://cdn.shopify.com/s/files/1/0072/5431/0975/products/GnL_Ballerina_01_3.jpg?v=1601042576" TargetMode="External"/><Relationship Id="rId8" Type="http://schemas.openxmlformats.org/officeDocument/2006/relationships/hyperlink" Target="https://cdn.shopify.com/s/files/1/0072/5431/0975/products/gnl00281-web.jpg?v=1713356055" TargetMode="External"/><Relationship Id="rId51" Type="http://schemas.openxmlformats.org/officeDocument/2006/relationships/hyperlink" Target="https://cdn.shopify.com/s/files/1/0072/5431/0975/products/GnL_SS18_02_3.jpg?v=1582317521" TargetMode="External"/><Relationship Id="rId3" Type="http://schemas.openxmlformats.org/officeDocument/2006/relationships/hyperlink" Target="https://cdn.shopify.com/s/files/1/0072/5431/0975/files/WaterLine_NavyBlue_01-jpeg2000px.jpg?v=1720693585" TargetMode="External"/><Relationship Id="rId12" Type="http://schemas.openxmlformats.org/officeDocument/2006/relationships/hyperlink" Target="https://cdn.shopify.com/s/files/1/0072/5431/0975/products/GnL_FW17_05_3.jpg?v=1582316481" TargetMode="External"/><Relationship Id="rId17" Type="http://schemas.openxmlformats.org/officeDocument/2006/relationships/hyperlink" Target="https://cdn.shopify.com/s/files/1/0072/5431/0975/products/GnL_Dez20_3.jpg?v=1613557089" TargetMode="External"/><Relationship Id="rId25" Type="http://schemas.openxmlformats.org/officeDocument/2006/relationships/hyperlink" Target="https://cdn.shopify.com/s/files/1/0072/5431/0975/files/WaterLine_Red_01-jpeg2000px.jpg?v=1720693506" TargetMode="External"/><Relationship Id="rId33" Type="http://schemas.openxmlformats.org/officeDocument/2006/relationships/hyperlink" Target="https://cdn.shopify.com/s/files/1/0072/5431/0975/products/gnl00290-Edit-web.jpg?v=1694685740" TargetMode="External"/><Relationship Id="rId38" Type="http://schemas.openxmlformats.org/officeDocument/2006/relationships/hyperlink" Target="https://cdn.shopify.com/s/files/1/0072/5431/0975/products/gnl00224-Edit-web.jpg?v=1694780857" TargetMode="External"/><Relationship Id="rId46" Type="http://schemas.openxmlformats.org/officeDocument/2006/relationships/hyperlink" Target="https://cdn.shopify.com/s/files/1/0072/5431/0975/products/GnL_SS18_06_3.jpg?v=1582318283" TargetMode="External"/><Relationship Id="rId59" Type="http://schemas.openxmlformats.org/officeDocument/2006/relationships/hyperlink" Target="https://cdn.shopify.com/s/files/1/0072/5431/0975/products/GnL_FW17_03_3.jpg?v=1582316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970"/>
  <sheetViews>
    <sheetView showGridLines="0" tabSelected="1" workbookViewId="0">
      <pane ySplit="1" topLeftCell="A2" activePane="bottomLeft" state="frozen"/>
      <selection pane="bottomLeft" activeCell="F2" sqref="F2:F46"/>
    </sheetView>
  </sheetViews>
  <sheetFormatPr defaultColWidth="12.7109375" defaultRowHeight="15.75" customHeight="1"/>
  <cols>
    <col min="1" max="1" width="26.140625" style="11" bestFit="1" customWidth="1"/>
    <col min="2" max="2" width="8.7109375" style="11" bestFit="1" customWidth="1"/>
    <col min="3" max="3" width="13.28515625" style="11" customWidth="1"/>
    <col min="4" max="5" width="9.42578125" style="11" bestFit="1" customWidth="1"/>
    <col min="6" max="6" width="5.28515625" style="11" bestFit="1" customWidth="1"/>
    <col min="7" max="9" width="3" style="11" bestFit="1" customWidth="1"/>
    <col min="10" max="12" width="4" style="11" bestFit="1" customWidth="1"/>
    <col min="13" max="13" width="3" style="11" bestFit="1" customWidth="1"/>
    <col min="14" max="15" width="4" style="11" bestFit="1" customWidth="1"/>
    <col min="16" max="18" width="3" style="11" bestFit="1" customWidth="1"/>
    <col min="19" max="16384" width="12.7109375" style="11"/>
  </cols>
  <sheetData>
    <row r="1" spans="1:19" s="8" customFormat="1" ht="55.9" customHeight="1">
      <c r="A1" s="6" t="s">
        <v>46</v>
      </c>
      <c r="B1" s="6" t="s">
        <v>0</v>
      </c>
      <c r="C1" s="6" t="s">
        <v>47</v>
      </c>
      <c r="D1" s="6" t="s">
        <v>48</v>
      </c>
      <c r="E1" s="7" t="s">
        <v>49</v>
      </c>
      <c r="F1" s="6" t="s">
        <v>50</v>
      </c>
      <c r="G1" s="6">
        <v>35</v>
      </c>
      <c r="H1" s="6">
        <v>36</v>
      </c>
      <c r="I1" s="6">
        <v>37</v>
      </c>
      <c r="J1" s="6">
        <v>38</v>
      </c>
      <c r="K1" s="6">
        <v>39</v>
      </c>
      <c r="L1" s="6">
        <v>40</v>
      </c>
      <c r="M1" s="6">
        <v>41</v>
      </c>
      <c r="N1" s="6">
        <v>42</v>
      </c>
      <c r="O1" s="6">
        <v>43</v>
      </c>
      <c r="P1" s="6">
        <v>44</v>
      </c>
      <c r="Q1" s="6">
        <v>45</v>
      </c>
      <c r="R1" s="6">
        <v>46</v>
      </c>
    </row>
    <row r="2" spans="1:19" ht="58.9" customHeight="1">
      <c r="A2" s="9" t="s">
        <v>2</v>
      </c>
      <c r="B2" s="9">
        <v>320123</v>
      </c>
      <c r="C2" s="9"/>
      <c r="D2" s="10">
        <v>195</v>
      </c>
      <c r="E2" s="10">
        <f>D2/2.1</f>
        <v>92.857142857142847</v>
      </c>
      <c r="F2" s="6">
        <f>SUM(G2:R2)</f>
        <v>847</v>
      </c>
      <c r="G2" s="9">
        <v>4</v>
      </c>
      <c r="H2" s="9">
        <v>14</v>
      </c>
      <c r="I2" s="9">
        <v>60</v>
      </c>
      <c r="J2" s="9">
        <v>62</v>
      </c>
      <c r="K2" s="9">
        <v>78</v>
      </c>
      <c r="L2" s="9">
        <v>78</v>
      </c>
      <c r="M2" s="9">
        <v>85</v>
      </c>
      <c r="N2" s="9">
        <v>120</v>
      </c>
      <c r="O2" s="9">
        <v>170</v>
      </c>
      <c r="P2" s="9">
        <v>65</v>
      </c>
      <c r="Q2" s="9">
        <v>74</v>
      </c>
      <c r="R2" s="9">
        <v>37</v>
      </c>
      <c r="S2" s="12"/>
    </row>
    <row r="3" spans="1:19" ht="55.15" customHeight="1">
      <c r="A3" s="9" t="s">
        <v>3</v>
      </c>
      <c r="B3" s="9">
        <v>330903</v>
      </c>
      <c r="C3" s="9"/>
      <c r="D3" s="10">
        <v>229</v>
      </c>
      <c r="E3" s="10">
        <f t="shared" ref="E3:E45" si="0">D3/2.1</f>
        <v>109.04761904761904</v>
      </c>
      <c r="F3" s="6">
        <f t="shared" ref="F3:F45" si="1">SUM(G3:R3)</f>
        <v>658</v>
      </c>
      <c r="G3" s="9">
        <v>1</v>
      </c>
      <c r="H3" s="9">
        <v>27</v>
      </c>
      <c r="I3" s="9">
        <v>93</v>
      </c>
      <c r="J3" s="9">
        <v>119</v>
      </c>
      <c r="K3" s="9">
        <v>168</v>
      </c>
      <c r="L3" s="9">
        <v>136</v>
      </c>
      <c r="M3" s="9">
        <v>51</v>
      </c>
      <c r="N3" s="9">
        <v>35</v>
      </c>
      <c r="O3" s="9">
        <v>20</v>
      </c>
      <c r="P3" s="9">
        <v>6</v>
      </c>
      <c r="Q3" s="9">
        <v>2</v>
      </c>
      <c r="R3" s="9"/>
    </row>
    <row r="4" spans="1:19" ht="55.15" customHeight="1">
      <c r="A4" s="9" t="s">
        <v>4</v>
      </c>
      <c r="B4" s="9">
        <v>220124</v>
      </c>
      <c r="C4" s="9"/>
      <c r="D4" s="10">
        <v>195</v>
      </c>
      <c r="E4" s="10">
        <f t="shared" si="0"/>
        <v>92.857142857142847</v>
      </c>
      <c r="F4" s="6">
        <f t="shared" si="1"/>
        <v>585</v>
      </c>
      <c r="G4" s="9">
        <v>57</v>
      </c>
      <c r="H4" s="9">
        <v>31</v>
      </c>
      <c r="I4" s="9">
        <v>25</v>
      </c>
      <c r="J4" s="9">
        <v>39</v>
      </c>
      <c r="K4" s="9">
        <v>35</v>
      </c>
      <c r="L4" s="9">
        <v>63</v>
      </c>
      <c r="M4" s="9">
        <v>49</v>
      </c>
      <c r="N4" s="9">
        <v>77</v>
      </c>
      <c r="O4" s="9">
        <v>101</v>
      </c>
      <c r="P4" s="9">
        <v>55</v>
      </c>
      <c r="Q4" s="9">
        <v>24</v>
      </c>
      <c r="R4" s="9">
        <v>29</v>
      </c>
    </row>
    <row r="5" spans="1:19" ht="55.15" customHeight="1">
      <c r="A5" s="9" t="s">
        <v>5</v>
      </c>
      <c r="B5" s="9">
        <v>330904</v>
      </c>
      <c r="C5" s="9"/>
      <c r="D5" s="10">
        <v>229</v>
      </c>
      <c r="E5" s="10">
        <f t="shared" si="0"/>
        <v>109.04761904761904</v>
      </c>
      <c r="F5" s="6">
        <f t="shared" si="1"/>
        <v>546</v>
      </c>
      <c r="G5" s="9">
        <v>3</v>
      </c>
      <c r="H5" s="9">
        <v>14</v>
      </c>
      <c r="I5" s="9">
        <v>49</v>
      </c>
      <c r="J5" s="9">
        <v>69</v>
      </c>
      <c r="K5" s="9">
        <v>90</v>
      </c>
      <c r="L5" s="9">
        <v>54</v>
      </c>
      <c r="M5" s="9">
        <v>66</v>
      </c>
      <c r="N5" s="9">
        <v>68</v>
      </c>
      <c r="O5" s="9">
        <v>79</v>
      </c>
      <c r="P5" s="9">
        <v>47</v>
      </c>
      <c r="Q5" s="9">
        <v>5</v>
      </c>
      <c r="R5" s="9">
        <v>2</v>
      </c>
    </row>
    <row r="6" spans="1:19" ht="55.15" customHeight="1">
      <c r="A6" s="9" t="s">
        <v>6</v>
      </c>
      <c r="B6" s="9">
        <v>330905</v>
      </c>
      <c r="C6" s="9"/>
      <c r="D6" s="10">
        <v>249</v>
      </c>
      <c r="E6" s="10">
        <f t="shared" si="0"/>
        <v>118.57142857142857</v>
      </c>
      <c r="F6" s="6">
        <f t="shared" si="1"/>
        <v>466</v>
      </c>
      <c r="G6" s="9">
        <v>2</v>
      </c>
      <c r="H6" s="9">
        <v>10</v>
      </c>
      <c r="I6" s="9">
        <v>26</v>
      </c>
      <c r="J6" s="9">
        <v>33</v>
      </c>
      <c r="K6" s="9">
        <v>63</v>
      </c>
      <c r="L6" s="9">
        <v>18</v>
      </c>
      <c r="M6" s="9">
        <v>49</v>
      </c>
      <c r="N6" s="9">
        <v>88</v>
      </c>
      <c r="O6" s="9">
        <v>78</v>
      </c>
      <c r="P6" s="9">
        <v>59</v>
      </c>
      <c r="Q6" s="9">
        <v>15</v>
      </c>
      <c r="R6" s="9">
        <v>25</v>
      </c>
    </row>
    <row r="7" spans="1:19" ht="55.15" customHeight="1">
      <c r="A7" s="9" t="s">
        <v>7</v>
      </c>
      <c r="B7" s="9">
        <v>310905</v>
      </c>
      <c r="C7" s="9"/>
      <c r="D7" s="10">
        <v>260</v>
      </c>
      <c r="E7" s="10">
        <f t="shared" si="0"/>
        <v>123.80952380952381</v>
      </c>
      <c r="F7" s="6">
        <f t="shared" si="1"/>
        <v>417</v>
      </c>
      <c r="G7" s="9">
        <v>1</v>
      </c>
      <c r="H7" s="9">
        <v>10</v>
      </c>
      <c r="I7" s="9">
        <v>31</v>
      </c>
      <c r="J7" s="9">
        <v>41</v>
      </c>
      <c r="K7" s="9">
        <v>23</v>
      </c>
      <c r="L7" s="9">
        <v>68</v>
      </c>
      <c r="M7" s="9">
        <v>58</v>
      </c>
      <c r="N7" s="9">
        <v>66</v>
      </c>
      <c r="O7" s="9">
        <v>49</v>
      </c>
      <c r="P7" s="9">
        <v>47</v>
      </c>
      <c r="Q7" s="9">
        <v>13</v>
      </c>
      <c r="R7" s="9">
        <v>10</v>
      </c>
    </row>
    <row r="8" spans="1:19" ht="55.15" customHeight="1">
      <c r="A8" s="9" t="s">
        <v>8</v>
      </c>
      <c r="B8" s="9">
        <v>310202</v>
      </c>
      <c r="C8" s="9"/>
      <c r="D8" s="10">
        <v>215</v>
      </c>
      <c r="E8" s="10">
        <f t="shared" si="0"/>
        <v>102.38095238095238</v>
      </c>
      <c r="F8" s="6">
        <f t="shared" si="1"/>
        <v>237</v>
      </c>
      <c r="G8" s="9">
        <v>33</v>
      </c>
      <c r="H8" s="9">
        <v>52</v>
      </c>
      <c r="I8" s="9">
        <v>31</v>
      </c>
      <c r="J8" s="9">
        <v>6</v>
      </c>
      <c r="K8" s="9"/>
      <c r="L8" s="9">
        <v>1</v>
      </c>
      <c r="M8" s="9">
        <v>1</v>
      </c>
      <c r="N8" s="9">
        <v>2</v>
      </c>
      <c r="O8" s="9">
        <v>26</v>
      </c>
      <c r="P8" s="9">
        <v>65</v>
      </c>
      <c r="Q8" s="9">
        <v>20</v>
      </c>
      <c r="R8" s="9"/>
    </row>
    <row r="9" spans="1:19" ht="55.15" customHeight="1">
      <c r="A9" s="9" t="s">
        <v>9</v>
      </c>
      <c r="B9" s="9">
        <v>110902</v>
      </c>
      <c r="C9" s="9"/>
      <c r="D9" s="10">
        <v>260</v>
      </c>
      <c r="E9" s="10">
        <f t="shared" si="0"/>
        <v>123.80952380952381</v>
      </c>
      <c r="F9" s="6">
        <f t="shared" si="1"/>
        <v>229</v>
      </c>
      <c r="G9" s="9">
        <v>3</v>
      </c>
      <c r="H9" s="9">
        <v>15</v>
      </c>
      <c r="I9" s="9">
        <v>31</v>
      </c>
      <c r="J9" s="9">
        <v>48</v>
      </c>
      <c r="K9" s="9">
        <v>46</v>
      </c>
      <c r="L9" s="9">
        <v>58</v>
      </c>
      <c r="M9" s="9">
        <v>25</v>
      </c>
      <c r="N9" s="9">
        <v>3</v>
      </c>
      <c r="O9" s="9" t="s">
        <v>1</v>
      </c>
      <c r="P9" s="9" t="s">
        <v>1</v>
      </c>
      <c r="Q9" s="9" t="s">
        <v>1</v>
      </c>
      <c r="R9" s="9" t="s">
        <v>1</v>
      </c>
    </row>
    <row r="10" spans="1:19" ht="55.15" customHeight="1">
      <c r="A10" s="9" t="s">
        <v>10</v>
      </c>
      <c r="B10" s="9">
        <v>310904</v>
      </c>
      <c r="C10" s="9"/>
      <c r="D10" s="10">
        <v>260</v>
      </c>
      <c r="E10" s="10">
        <f t="shared" si="0"/>
        <v>123.80952380952381</v>
      </c>
      <c r="F10" s="6">
        <f t="shared" si="1"/>
        <v>221</v>
      </c>
      <c r="G10" s="9">
        <v>5</v>
      </c>
      <c r="H10" s="9">
        <v>8</v>
      </c>
      <c r="I10" s="9">
        <v>23</v>
      </c>
      <c r="J10" s="9">
        <v>21</v>
      </c>
      <c r="K10" s="9"/>
      <c r="L10" s="9">
        <v>65</v>
      </c>
      <c r="M10" s="9">
        <v>19</v>
      </c>
      <c r="N10" s="9">
        <v>14</v>
      </c>
      <c r="O10" s="9">
        <v>21</v>
      </c>
      <c r="P10" s="9">
        <v>26</v>
      </c>
      <c r="Q10" s="9">
        <v>16</v>
      </c>
      <c r="R10" s="9">
        <v>3</v>
      </c>
    </row>
    <row r="11" spans="1:19" ht="55.15" customHeight="1">
      <c r="A11" s="9" t="s">
        <v>11</v>
      </c>
      <c r="B11" s="9">
        <v>310201</v>
      </c>
      <c r="C11" s="9"/>
      <c r="D11" s="10">
        <v>215</v>
      </c>
      <c r="E11" s="10">
        <f t="shared" si="0"/>
        <v>102.38095238095238</v>
      </c>
      <c r="F11" s="6">
        <f t="shared" si="1"/>
        <v>220</v>
      </c>
      <c r="G11" s="9">
        <v>37</v>
      </c>
      <c r="H11" s="9">
        <v>52</v>
      </c>
      <c r="I11" s="9">
        <v>26</v>
      </c>
      <c r="J11" s="9"/>
      <c r="K11" s="9"/>
      <c r="L11" s="9">
        <v>19</v>
      </c>
      <c r="M11" s="9">
        <v>38</v>
      </c>
      <c r="N11" s="9">
        <v>1</v>
      </c>
      <c r="O11" s="9"/>
      <c r="P11" s="9">
        <v>28</v>
      </c>
      <c r="Q11" s="9">
        <v>3</v>
      </c>
      <c r="R11" s="9">
        <v>16</v>
      </c>
    </row>
    <row r="12" spans="1:19" ht="55.15" customHeight="1">
      <c r="A12" s="9" t="s">
        <v>12</v>
      </c>
      <c r="B12" s="9">
        <v>110903</v>
      </c>
      <c r="C12" s="9"/>
      <c r="D12" s="10">
        <v>260</v>
      </c>
      <c r="E12" s="10">
        <f t="shared" si="0"/>
        <v>123.80952380952381</v>
      </c>
      <c r="F12" s="6">
        <f t="shared" si="1"/>
        <v>219</v>
      </c>
      <c r="G12" s="9">
        <v>10</v>
      </c>
      <c r="H12" s="9">
        <v>14</v>
      </c>
      <c r="I12" s="9">
        <v>34</v>
      </c>
      <c r="J12" s="9">
        <v>51</v>
      </c>
      <c r="K12" s="9">
        <v>52</v>
      </c>
      <c r="L12" s="9">
        <v>44</v>
      </c>
      <c r="M12" s="9">
        <v>14</v>
      </c>
      <c r="N12" s="9"/>
      <c r="O12" s="9" t="s">
        <v>1</v>
      </c>
      <c r="P12" s="9" t="s">
        <v>1</v>
      </c>
      <c r="Q12" s="9" t="s">
        <v>1</v>
      </c>
      <c r="R12" s="9" t="s">
        <v>1</v>
      </c>
    </row>
    <row r="13" spans="1:19" ht="55.15" customHeight="1">
      <c r="A13" s="9" t="s">
        <v>13</v>
      </c>
      <c r="B13" s="9">
        <v>310501</v>
      </c>
      <c r="C13" s="9"/>
      <c r="D13" s="10">
        <v>215</v>
      </c>
      <c r="E13" s="10">
        <f t="shared" si="0"/>
        <v>102.38095238095238</v>
      </c>
      <c r="F13" s="6">
        <f t="shared" si="1"/>
        <v>219</v>
      </c>
      <c r="G13" s="9">
        <v>10</v>
      </c>
      <c r="H13" s="9">
        <v>9</v>
      </c>
      <c r="I13" s="9">
        <v>40</v>
      </c>
      <c r="J13" s="9">
        <v>31</v>
      </c>
      <c r="K13" s="9">
        <v>2</v>
      </c>
      <c r="L13" s="9">
        <v>37</v>
      </c>
      <c r="M13" s="9">
        <v>3</v>
      </c>
      <c r="N13" s="9">
        <v>36</v>
      </c>
      <c r="O13" s="9">
        <v>27</v>
      </c>
      <c r="P13" s="9">
        <v>17</v>
      </c>
      <c r="Q13" s="9">
        <v>6</v>
      </c>
      <c r="R13" s="9">
        <v>1</v>
      </c>
    </row>
    <row r="14" spans="1:19" ht="55.15" customHeight="1">
      <c r="A14" s="9" t="s">
        <v>14</v>
      </c>
      <c r="B14" s="9">
        <v>310903</v>
      </c>
      <c r="C14" s="9"/>
      <c r="D14" s="10">
        <v>260</v>
      </c>
      <c r="E14" s="10">
        <f t="shared" si="0"/>
        <v>123.80952380952381</v>
      </c>
      <c r="F14" s="6">
        <f t="shared" si="1"/>
        <v>212</v>
      </c>
      <c r="G14" s="9">
        <v>2</v>
      </c>
      <c r="H14" s="9">
        <v>3</v>
      </c>
      <c r="I14" s="9"/>
      <c r="J14" s="9"/>
      <c r="K14" s="9"/>
      <c r="L14" s="9"/>
      <c r="M14" s="9">
        <v>39</v>
      </c>
      <c r="N14" s="9">
        <v>45</v>
      </c>
      <c r="O14" s="9">
        <v>44</v>
      </c>
      <c r="P14" s="9">
        <v>53</v>
      </c>
      <c r="Q14" s="9">
        <v>13</v>
      </c>
      <c r="R14" s="9">
        <v>13</v>
      </c>
    </row>
    <row r="15" spans="1:19" ht="55.15" customHeight="1">
      <c r="A15" s="9" t="s">
        <v>15</v>
      </c>
      <c r="B15" s="9">
        <v>330902</v>
      </c>
      <c r="C15" s="9"/>
      <c r="D15" s="10">
        <v>249</v>
      </c>
      <c r="E15" s="10">
        <f t="shared" si="0"/>
        <v>118.57142857142857</v>
      </c>
      <c r="F15" s="6">
        <f t="shared" si="1"/>
        <v>212</v>
      </c>
      <c r="G15" s="9">
        <v>7</v>
      </c>
      <c r="H15" s="9">
        <v>4</v>
      </c>
      <c r="I15" s="9">
        <v>30</v>
      </c>
      <c r="J15" s="9">
        <v>46</v>
      </c>
      <c r="K15" s="9">
        <v>55</v>
      </c>
      <c r="L15" s="9">
        <v>25</v>
      </c>
      <c r="M15" s="9">
        <v>16</v>
      </c>
      <c r="N15" s="9">
        <v>29</v>
      </c>
      <c r="O15" s="9"/>
      <c r="P15" s="9"/>
      <c r="Q15" s="9"/>
      <c r="R15" s="9"/>
    </row>
    <row r="16" spans="1:19" ht="55.15" customHeight="1">
      <c r="A16" s="9" t="s">
        <v>16</v>
      </c>
      <c r="B16" s="9">
        <v>310302</v>
      </c>
      <c r="C16" s="9"/>
      <c r="D16" s="10">
        <v>215</v>
      </c>
      <c r="E16" s="10">
        <f t="shared" si="0"/>
        <v>102.38095238095238</v>
      </c>
      <c r="F16" s="6">
        <f t="shared" si="1"/>
        <v>202</v>
      </c>
      <c r="G16" s="9">
        <v>14</v>
      </c>
      <c r="H16" s="9">
        <v>10</v>
      </c>
      <c r="I16" s="9">
        <v>23</v>
      </c>
      <c r="J16" s="9">
        <v>36</v>
      </c>
      <c r="K16" s="9">
        <v>43</v>
      </c>
      <c r="L16" s="9">
        <v>63</v>
      </c>
      <c r="M16" s="9"/>
      <c r="N16" s="9">
        <v>7</v>
      </c>
      <c r="O16" s="9"/>
      <c r="P16" s="9">
        <v>5</v>
      </c>
      <c r="Q16" s="9">
        <v>1</v>
      </c>
      <c r="R16" s="9"/>
    </row>
    <row r="17" spans="1:18" ht="55.15" customHeight="1">
      <c r="A17" s="9" t="s">
        <v>17</v>
      </c>
      <c r="B17" s="9">
        <v>110905</v>
      </c>
      <c r="C17" s="9"/>
      <c r="D17" s="10">
        <v>260</v>
      </c>
      <c r="E17" s="10">
        <f t="shared" si="0"/>
        <v>123.80952380952381</v>
      </c>
      <c r="F17" s="6">
        <f t="shared" si="1"/>
        <v>176</v>
      </c>
      <c r="G17" s="9">
        <v>6</v>
      </c>
      <c r="H17" s="9">
        <v>21</v>
      </c>
      <c r="I17" s="9">
        <v>19</v>
      </c>
      <c r="J17" s="9">
        <v>48</v>
      </c>
      <c r="K17" s="9">
        <v>45</v>
      </c>
      <c r="L17" s="9">
        <v>32</v>
      </c>
      <c r="M17" s="9">
        <v>5</v>
      </c>
      <c r="N17" s="9"/>
      <c r="O17" s="9" t="s">
        <v>1</v>
      </c>
      <c r="P17" s="9" t="s">
        <v>1</v>
      </c>
      <c r="Q17" s="9" t="s">
        <v>1</v>
      </c>
      <c r="R17" s="9" t="s">
        <v>1</v>
      </c>
    </row>
    <row r="18" spans="1:18" ht="55.15" customHeight="1">
      <c r="A18" s="9" t="s">
        <v>18</v>
      </c>
      <c r="B18" s="9">
        <v>310906</v>
      </c>
      <c r="C18" s="9"/>
      <c r="D18" s="10">
        <v>260</v>
      </c>
      <c r="E18" s="10">
        <f t="shared" si="0"/>
        <v>123.80952380952381</v>
      </c>
      <c r="F18" s="6">
        <f t="shared" si="1"/>
        <v>165</v>
      </c>
      <c r="G18" s="9">
        <v>5</v>
      </c>
      <c r="H18" s="9">
        <v>6</v>
      </c>
      <c r="I18" s="9">
        <v>13</v>
      </c>
      <c r="J18" s="9">
        <v>24</v>
      </c>
      <c r="K18" s="9">
        <v>22</v>
      </c>
      <c r="L18" s="9">
        <v>37</v>
      </c>
      <c r="M18" s="9">
        <v>27</v>
      </c>
      <c r="N18" s="9">
        <v>5</v>
      </c>
      <c r="O18" s="9">
        <v>5</v>
      </c>
      <c r="P18" s="9">
        <v>21</v>
      </c>
      <c r="Q18" s="9"/>
      <c r="R18" s="9"/>
    </row>
    <row r="19" spans="1:18" ht="55.15" customHeight="1">
      <c r="A19" s="9" t="s">
        <v>19</v>
      </c>
      <c r="B19" s="9">
        <v>310908</v>
      </c>
      <c r="C19" s="9"/>
      <c r="D19" s="10">
        <v>260</v>
      </c>
      <c r="E19" s="10">
        <f t="shared" si="0"/>
        <v>123.80952380952381</v>
      </c>
      <c r="F19" s="6">
        <f t="shared" si="1"/>
        <v>151</v>
      </c>
      <c r="G19" s="9"/>
      <c r="H19" s="9"/>
      <c r="I19" s="9">
        <v>13</v>
      </c>
      <c r="J19" s="9">
        <v>17</v>
      </c>
      <c r="K19" s="9">
        <v>18</v>
      </c>
      <c r="L19" s="9">
        <v>19</v>
      </c>
      <c r="M19" s="9">
        <v>18</v>
      </c>
      <c r="N19" s="9">
        <v>30</v>
      </c>
      <c r="O19" s="9">
        <v>15</v>
      </c>
      <c r="P19" s="9">
        <v>13</v>
      </c>
      <c r="Q19" s="9">
        <v>8</v>
      </c>
      <c r="R19" s="9"/>
    </row>
    <row r="20" spans="1:18" ht="55.15" customHeight="1">
      <c r="A20" s="9" t="s">
        <v>20</v>
      </c>
      <c r="B20" s="9">
        <v>110904</v>
      </c>
      <c r="C20" s="9"/>
      <c r="D20" s="10">
        <v>260</v>
      </c>
      <c r="E20" s="10">
        <f t="shared" si="0"/>
        <v>123.80952380952381</v>
      </c>
      <c r="F20" s="6">
        <f t="shared" si="1"/>
        <v>142</v>
      </c>
      <c r="G20" s="9">
        <v>5</v>
      </c>
      <c r="H20" s="9">
        <v>8</v>
      </c>
      <c r="I20" s="9">
        <v>20</v>
      </c>
      <c r="J20" s="9">
        <v>22</v>
      </c>
      <c r="K20" s="9">
        <v>38</v>
      </c>
      <c r="L20" s="9">
        <v>34</v>
      </c>
      <c r="M20" s="9">
        <v>14</v>
      </c>
      <c r="N20" s="9">
        <v>1</v>
      </c>
      <c r="O20" s="9" t="s">
        <v>1</v>
      </c>
      <c r="P20" s="9" t="s">
        <v>1</v>
      </c>
      <c r="Q20" s="9" t="s">
        <v>1</v>
      </c>
      <c r="R20" s="9" t="s">
        <v>1</v>
      </c>
    </row>
    <row r="21" spans="1:18" ht="55.15" customHeight="1">
      <c r="A21" s="9" t="s">
        <v>21</v>
      </c>
      <c r="B21" s="9">
        <v>220125</v>
      </c>
      <c r="C21" s="9"/>
      <c r="D21" s="10">
        <v>195</v>
      </c>
      <c r="E21" s="10">
        <f t="shared" si="0"/>
        <v>92.857142857142847</v>
      </c>
      <c r="F21" s="6">
        <f t="shared" si="1"/>
        <v>136</v>
      </c>
      <c r="G21" s="9">
        <v>5</v>
      </c>
      <c r="H21" s="9">
        <v>21</v>
      </c>
      <c r="I21" s="9">
        <v>13</v>
      </c>
      <c r="J21" s="9">
        <v>16</v>
      </c>
      <c r="K21" s="9">
        <v>4</v>
      </c>
      <c r="L21" s="9">
        <v>32</v>
      </c>
      <c r="M21" s="9">
        <v>26</v>
      </c>
      <c r="N21" s="9"/>
      <c r="O21" s="9"/>
      <c r="P21" s="9">
        <v>12</v>
      </c>
      <c r="Q21" s="9"/>
      <c r="R21" s="9">
        <v>7</v>
      </c>
    </row>
    <row r="22" spans="1:18" ht="55.15" customHeight="1">
      <c r="A22" s="9" t="s">
        <v>22</v>
      </c>
      <c r="B22" s="9">
        <v>310901</v>
      </c>
      <c r="C22" s="9"/>
      <c r="D22" s="10">
        <v>260</v>
      </c>
      <c r="E22" s="10">
        <f t="shared" si="0"/>
        <v>123.80952380952381</v>
      </c>
      <c r="F22" s="6">
        <f t="shared" si="1"/>
        <v>87</v>
      </c>
      <c r="G22" s="9">
        <v>4</v>
      </c>
      <c r="H22" s="9">
        <v>1</v>
      </c>
      <c r="I22" s="9">
        <v>1</v>
      </c>
      <c r="J22" s="9"/>
      <c r="K22" s="9">
        <v>3</v>
      </c>
      <c r="L22" s="9">
        <v>20</v>
      </c>
      <c r="M22" s="9">
        <v>25</v>
      </c>
      <c r="N22" s="9">
        <v>2</v>
      </c>
      <c r="O22" s="9"/>
      <c r="P22" s="9">
        <v>31</v>
      </c>
      <c r="Q22" s="9"/>
      <c r="R22" s="9"/>
    </row>
    <row r="23" spans="1:18" ht="55.15" customHeight="1">
      <c r="A23" s="9" t="s">
        <v>23</v>
      </c>
      <c r="B23" s="9">
        <v>120128</v>
      </c>
      <c r="C23" s="9"/>
      <c r="D23" s="10">
        <v>195</v>
      </c>
      <c r="E23" s="10">
        <f t="shared" si="0"/>
        <v>92.857142857142847</v>
      </c>
      <c r="F23" s="6">
        <f t="shared" si="1"/>
        <v>81</v>
      </c>
      <c r="G23" s="9"/>
      <c r="H23" s="9"/>
      <c r="I23" s="9"/>
      <c r="J23" s="9"/>
      <c r="K23" s="9">
        <v>4</v>
      </c>
      <c r="L23" s="9"/>
      <c r="M23" s="9">
        <v>9</v>
      </c>
      <c r="N23" s="9">
        <v>25</v>
      </c>
      <c r="O23" s="9">
        <v>10</v>
      </c>
      <c r="P23" s="9">
        <v>21</v>
      </c>
      <c r="Q23" s="9">
        <v>10</v>
      </c>
      <c r="R23" s="9">
        <v>2</v>
      </c>
    </row>
    <row r="24" spans="1:18" ht="55.15" customHeight="1">
      <c r="A24" s="9" t="s">
        <v>24</v>
      </c>
      <c r="B24" s="9">
        <v>310902</v>
      </c>
      <c r="C24" s="9"/>
      <c r="D24" s="10">
        <v>260</v>
      </c>
      <c r="E24" s="10">
        <f t="shared" si="0"/>
        <v>123.80952380952381</v>
      </c>
      <c r="F24" s="6">
        <f t="shared" si="1"/>
        <v>73</v>
      </c>
      <c r="G24" s="9">
        <v>3</v>
      </c>
      <c r="H24" s="9">
        <v>9</v>
      </c>
      <c r="I24" s="9">
        <v>10</v>
      </c>
      <c r="J24" s="9">
        <v>4</v>
      </c>
      <c r="K24" s="9">
        <v>8</v>
      </c>
      <c r="L24" s="9">
        <v>12</v>
      </c>
      <c r="M24" s="9">
        <v>27</v>
      </c>
      <c r="N24" s="9"/>
      <c r="O24" s="9"/>
      <c r="P24" s="9"/>
      <c r="Q24" s="9"/>
      <c r="R24" s="9"/>
    </row>
    <row r="25" spans="1:18" ht="55.15" customHeight="1">
      <c r="A25" s="9" t="s">
        <v>25</v>
      </c>
      <c r="B25" s="9">
        <v>120123</v>
      </c>
      <c r="C25" s="9"/>
      <c r="D25" s="10">
        <v>195</v>
      </c>
      <c r="E25" s="10">
        <f t="shared" si="0"/>
        <v>92.857142857142847</v>
      </c>
      <c r="F25" s="6">
        <f t="shared" si="1"/>
        <v>61</v>
      </c>
      <c r="G25" s="9">
        <v>29</v>
      </c>
      <c r="H25" s="9">
        <v>32</v>
      </c>
      <c r="I25" s="9"/>
      <c r="J25" s="9"/>
      <c r="K25" s="9"/>
      <c r="L25" s="9"/>
      <c r="M25" s="9"/>
      <c r="N25" s="9"/>
      <c r="O25" s="9" t="s">
        <v>1</v>
      </c>
      <c r="P25" s="9" t="s">
        <v>1</v>
      </c>
      <c r="Q25" s="9" t="s">
        <v>1</v>
      </c>
      <c r="R25" s="9" t="s">
        <v>1</v>
      </c>
    </row>
    <row r="26" spans="1:18" ht="55.15" customHeight="1">
      <c r="A26" s="9" t="s">
        <v>26</v>
      </c>
      <c r="B26" s="9">
        <v>110110</v>
      </c>
      <c r="C26" s="9"/>
      <c r="D26" s="10">
        <v>215</v>
      </c>
      <c r="E26" s="10">
        <f t="shared" si="0"/>
        <v>102.38095238095238</v>
      </c>
      <c r="F26" s="6">
        <f t="shared" si="1"/>
        <v>60</v>
      </c>
      <c r="G26" s="9">
        <v>13</v>
      </c>
      <c r="H26" s="9">
        <v>33</v>
      </c>
      <c r="I26" s="9">
        <v>14</v>
      </c>
      <c r="J26" s="9"/>
      <c r="K26" s="9"/>
      <c r="L26" s="9"/>
      <c r="M26" s="9"/>
      <c r="N26" s="9"/>
      <c r="O26" s="9" t="s">
        <v>1</v>
      </c>
      <c r="P26" s="9" t="s">
        <v>1</v>
      </c>
      <c r="Q26" s="9" t="s">
        <v>1</v>
      </c>
      <c r="R26" s="9" t="s">
        <v>1</v>
      </c>
    </row>
    <row r="27" spans="1:18" ht="55.15" customHeight="1">
      <c r="A27" s="9" t="s">
        <v>27</v>
      </c>
      <c r="B27" s="9">
        <v>120127</v>
      </c>
      <c r="C27" s="9"/>
      <c r="D27" s="10">
        <v>195</v>
      </c>
      <c r="E27" s="10">
        <f t="shared" si="0"/>
        <v>92.857142857142847</v>
      </c>
      <c r="F27" s="6">
        <f t="shared" si="1"/>
        <v>52</v>
      </c>
      <c r="G27" s="9">
        <v>14</v>
      </c>
      <c r="H27" s="9">
        <v>32</v>
      </c>
      <c r="I27" s="9"/>
      <c r="J27" s="9"/>
      <c r="K27" s="9"/>
      <c r="L27" s="9">
        <v>6</v>
      </c>
      <c r="M27" s="9"/>
      <c r="N27" s="9"/>
      <c r="O27" s="9" t="s">
        <v>1</v>
      </c>
      <c r="P27" s="9" t="s">
        <v>1</v>
      </c>
      <c r="Q27" s="9" t="s">
        <v>1</v>
      </c>
      <c r="R27" s="9" t="s">
        <v>1</v>
      </c>
    </row>
    <row r="28" spans="1:18" ht="55.15" customHeight="1">
      <c r="A28" s="9" t="s">
        <v>28</v>
      </c>
      <c r="B28" s="9">
        <v>220126</v>
      </c>
      <c r="C28" s="9"/>
      <c r="D28" s="10">
        <v>195</v>
      </c>
      <c r="E28" s="10">
        <f t="shared" si="0"/>
        <v>92.857142857142847</v>
      </c>
      <c r="F28" s="6">
        <f t="shared" si="1"/>
        <v>52</v>
      </c>
      <c r="G28" s="9"/>
      <c r="H28" s="9"/>
      <c r="I28" s="9"/>
      <c r="J28" s="9"/>
      <c r="K28" s="9"/>
      <c r="L28" s="9">
        <v>1</v>
      </c>
      <c r="M28" s="9"/>
      <c r="N28" s="9">
        <v>16</v>
      </c>
      <c r="O28" s="9">
        <v>32</v>
      </c>
      <c r="P28" s="9"/>
      <c r="Q28" s="9"/>
      <c r="R28" s="9">
        <v>3</v>
      </c>
    </row>
    <row r="29" spans="1:18" ht="55.15" customHeight="1">
      <c r="A29" s="9" t="s">
        <v>29</v>
      </c>
      <c r="B29" s="9">
        <v>310907</v>
      </c>
      <c r="C29" s="9"/>
      <c r="D29" s="10">
        <v>260</v>
      </c>
      <c r="E29" s="10">
        <f t="shared" si="0"/>
        <v>123.80952380952381</v>
      </c>
      <c r="F29" s="6">
        <f t="shared" si="1"/>
        <v>43</v>
      </c>
      <c r="G29" s="9"/>
      <c r="H29" s="9">
        <v>2</v>
      </c>
      <c r="I29" s="9"/>
      <c r="J29" s="9">
        <v>6</v>
      </c>
      <c r="K29" s="9">
        <v>15</v>
      </c>
      <c r="L29" s="9">
        <v>15</v>
      </c>
      <c r="M29" s="9">
        <v>5</v>
      </c>
      <c r="N29" s="9"/>
      <c r="O29" s="9"/>
      <c r="P29" s="9"/>
      <c r="Q29" s="9"/>
      <c r="R29" s="9"/>
    </row>
    <row r="30" spans="1:18" ht="55.15" customHeight="1">
      <c r="A30" s="9" t="s">
        <v>30</v>
      </c>
      <c r="B30" s="9">
        <v>330131</v>
      </c>
      <c r="C30" s="9"/>
      <c r="D30" s="10">
        <v>170</v>
      </c>
      <c r="E30" s="10">
        <f t="shared" si="0"/>
        <v>80.952380952380949</v>
      </c>
      <c r="F30" s="6">
        <f t="shared" si="1"/>
        <v>33</v>
      </c>
      <c r="G30" s="9"/>
      <c r="H30" s="9">
        <v>24</v>
      </c>
      <c r="I30" s="9">
        <v>9</v>
      </c>
      <c r="J30" s="9"/>
      <c r="K30" s="9"/>
      <c r="L30" s="9"/>
      <c r="M30" s="9"/>
      <c r="N30" s="9"/>
      <c r="O30" s="9"/>
      <c r="P30" s="9"/>
      <c r="Q30" s="9"/>
      <c r="R30" s="9"/>
    </row>
    <row r="31" spans="1:18" ht="55.15" customHeight="1">
      <c r="A31" s="9" t="s">
        <v>25</v>
      </c>
      <c r="B31" s="9">
        <v>320121</v>
      </c>
      <c r="C31" s="9"/>
      <c r="D31" s="10">
        <v>195</v>
      </c>
      <c r="E31" s="10">
        <f t="shared" si="0"/>
        <v>92.857142857142847</v>
      </c>
      <c r="F31" s="6">
        <f t="shared" si="1"/>
        <v>30</v>
      </c>
      <c r="G31" s="9">
        <v>6</v>
      </c>
      <c r="H31" s="9">
        <v>21</v>
      </c>
      <c r="I31" s="9">
        <v>3</v>
      </c>
      <c r="J31" s="9"/>
      <c r="K31" s="9"/>
      <c r="L31" s="9"/>
      <c r="M31" s="9"/>
      <c r="N31" s="9"/>
      <c r="O31" s="9"/>
      <c r="P31" s="9"/>
      <c r="Q31" s="9"/>
      <c r="R31" s="9"/>
    </row>
    <row r="32" spans="1:18" ht="55.15" customHeight="1">
      <c r="A32" s="9" t="s">
        <v>31</v>
      </c>
      <c r="B32" s="9" t="s">
        <v>32</v>
      </c>
      <c r="C32" s="9"/>
      <c r="D32" s="10">
        <v>215</v>
      </c>
      <c r="E32" s="10">
        <f t="shared" si="0"/>
        <v>102.38095238095238</v>
      </c>
      <c r="F32" s="6">
        <f t="shared" si="1"/>
        <v>27</v>
      </c>
      <c r="G32" s="9">
        <v>7</v>
      </c>
      <c r="H32" s="9">
        <v>20</v>
      </c>
      <c r="I32" s="9"/>
      <c r="J32" s="9"/>
      <c r="K32" s="9"/>
      <c r="L32" s="9"/>
      <c r="M32" s="9"/>
      <c r="N32" s="9"/>
      <c r="O32" s="9" t="s">
        <v>1</v>
      </c>
      <c r="P32" s="9" t="s">
        <v>1</v>
      </c>
      <c r="Q32" s="9" t="s">
        <v>1</v>
      </c>
      <c r="R32" s="9" t="s">
        <v>1</v>
      </c>
    </row>
    <row r="33" spans="1:18" ht="55.15" customHeight="1">
      <c r="A33" s="9" t="s">
        <v>33</v>
      </c>
      <c r="B33" s="9">
        <v>110901</v>
      </c>
      <c r="C33" s="9"/>
      <c r="D33" s="10">
        <v>260</v>
      </c>
      <c r="E33" s="10">
        <f t="shared" si="0"/>
        <v>123.80952380952381</v>
      </c>
      <c r="F33" s="6">
        <f t="shared" si="1"/>
        <v>23</v>
      </c>
      <c r="G33" s="9">
        <v>4</v>
      </c>
      <c r="H33" s="9"/>
      <c r="I33" s="9">
        <v>2</v>
      </c>
      <c r="J33" s="9"/>
      <c r="K33" s="9"/>
      <c r="L33" s="9">
        <v>16</v>
      </c>
      <c r="M33" s="9">
        <v>1</v>
      </c>
      <c r="N33" s="9"/>
      <c r="O33" s="9" t="s">
        <v>1</v>
      </c>
      <c r="P33" s="9" t="s">
        <v>1</v>
      </c>
      <c r="Q33" s="9" t="s">
        <v>1</v>
      </c>
      <c r="R33" s="9" t="s">
        <v>1</v>
      </c>
    </row>
    <row r="34" spans="1:18" ht="55.15" customHeight="1">
      <c r="A34" s="9" t="s">
        <v>34</v>
      </c>
      <c r="B34" s="9">
        <v>220127</v>
      </c>
      <c r="C34" s="9"/>
      <c r="D34" s="10">
        <v>195</v>
      </c>
      <c r="E34" s="10">
        <f t="shared" si="0"/>
        <v>92.857142857142847</v>
      </c>
      <c r="F34" s="6">
        <f t="shared" si="1"/>
        <v>22</v>
      </c>
      <c r="G34" s="9"/>
      <c r="H34" s="9"/>
      <c r="I34" s="9"/>
      <c r="J34" s="9">
        <v>1</v>
      </c>
      <c r="K34" s="9">
        <v>1</v>
      </c>
      <c r="L34" s="9">
        <v>1</v>
      </c>
      <c r="M34" s="9">
        <v>1</v>
      </c>
      <c r="N34" s="9">
        <v>3</v>
      </c>
      <c r="O34" s="9">
        <v>2</v>
      </c>
      <c r="P34" s="9">
        <v>3</v>
      </c>
      <c r="Q34" s="9"/>
      <c r="R34" s="9">
        <v>10</v>
      </c>
    </row>
    <row r="35" spans="1:18" ht="55.15" customHeight="1">
      <c r="A35" s="9" t="s">
        <v>35</v>
      </c>
      <c r="B35" s="9">
        <v>110801</v>
      </c>
      <c r="C35" s="9"/>
      <c r="D35" s="10">
        <v>205</v>
      </c>
      <c r="E35" s="10">
        <f t="shared" si="0"/>
        <v>97.61904761904762</v>
      </c>
      <c r="F35" s="6">
        <f t="shared" si="1"/>
        <v>15</v>
      </c>
      <c r="G35" s="9"/>
      <c r="H35" s="9">
        <v>2</v>
      </c>
      <c r="I35" s="9"/>
      <c r="J35" s="9">
        <v>5</v>
      </c>
      <c r="K35" s="9">
        <v>8</v>
      </c>
      <c r="L35" s="9"/>
      <c r="M35" s="9"/>
      <c r="N35" s="9"/>
      <c r="O35" s="9"/>
      <c r="P35" s="9"/>
      <c r="Q35" s="9"/>
      <c r="R35" s="9"/>
    </row>
    <row r="36" spans="1:18" ht="55.15" customHeight="1">
      <c r="A36" s="9" t="s">
        <v>36</v>
      </c>
      <c r="B36" s="9">
        <v>310401</v>
      </c>
      <c r="C36" s="9"/>
      <c r="D36" s="10">
        <v>235</v>
      </c>
      <c r="E36" s="10">
        <f t="shared" si="0"/>
        <v>111.9047619047619</v>
      </c>
      <c r="F36" s="6">
        <f t="shared" si="1"/>
        <v>15</v>
      </c>
      <c r="G36" s="9">
        <v>3</v>
      </c>
      <c r="H36" s="9">
        <v>12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55.15" customHeight="1">
      <c r="A37" s="9" t="s">
        <v>37</v>
      </c>
      <c r="B37" s="9">
        <v>110302</v>
      </c>
      <c r="C37" s="9"/>
      <c r="D37" s="10">
        <v>215</v>
      </c>
      <c r="E37" s="10">
        <f t="shared" si="0"/>
        <v>102.38095238095238</v>
      </c>
      <c r="F37" s="6">
        <f t="shared" si="1"/>
        <v>11</v>
      </c>
      <c r="G37" s="9">
        <v>3</v>
      </c>
      <c r="H37" s="9">
        <v>8</v>
      </c>
      <c r="I37" s="9"/>
      <c r="J37" s="9"/>
      <c r="K37" s="9"/>
      <c r="L37" s="9"/>
      <c r="M37" s="9"/>
      <c r="N37" s="9"/>
      <c r="O37" s="9"/>
      <c r="P37" s="9" t="s">
        <v>1</v>
      </c>
      <c r="Q37" s="9" t="s">
        <v>1</v>
      </c>
      <c r="R37" s="9" t="s">
        <v>1</v>
      </c>
    </row>
    <row r="38" spans="1:18" ht="55.15" customHeight="1">
      <c r="A38" s="9" t="s">
        <v>38</v>
      </c>
      <c r="B38" s="9">
        <v>110114</v>
      </c>
      <c r="C38" s="9"/>
      <c r="D38" s="10">
        <v>215</v>
      </c>
      <c r="E38" s="10">
        <f t="shared" si="0"/>
        <v>102.38095238095238</v>
      </c>
      <c r="F38" s="6">
        <f t="shared" si="1"/>
        <v>7</v>
      </c>
      <c r="G38" s="9"/>
      <c r="H38" s="9">
        <v>3</v>
      </c>
      <c r="I38" s="9">
        <v>4</v>
      </c>
      <c r="J38" s="9"/>
      <c r="K38" s="9"/>
      <c r="L38" s="9"/>
      <c r="M38" s="9"/>
      <c r="N38" s="9"/>
      <c r="O38" s="9" t="s">
        <v>1</v>
      </c>
      <c r="P38" s="9" t="s">
        <v>1</v>
      </c>
      <c r="Q38" s="9" t="s">
        <v>1</v>
      </c>
      <c r="R38" s="9" t="s">
        <v>1</v>
      </c>
    </row>
    <row r="39" spans="1:18" ht="55.15" customHeight="1">
      <c r="A39" s="9" t="s">
        <v>39</v>
      </c>
      <c r="B39" s="9">
        <v>110201</v>
      </c>
      <c r="C39" s="9"/>
      <c r="D39" s="10">
        <v>215</v>
      </c>
      <c r="E39" s="10">
        <f t="shared" si="0"/>
        <v>102.38095238095238</v>
      </c>
      <c r="F39" s="6">
        <f t="shared" si="1"/>
        <v>6</v>
      </c>
      <c r="G39" s="9"/>
      <c r="H39" s="9">
        <v>6</v>
      </c>
      <c r="I39" s="9"/>
      <c r="J39" s="9"/>
      <c r="K39" s="9"/>
      <c r="L39" s="9"/>
      <c r="M39" s="9"/>
      <c r="N39" s="9"/>
      <c r="O39" s="9" t="s">
        <v>1</v>
      </c>
      <c r="P39" s="9" t="s">
        <v>1</v>
      </c>
      <c r="Q39" s="9" t="s">
        <v>1</v>
      </c>
      <c r="R39" s="9" t="s">
        <v>1</v>
      </c>
    </row>
    <row r="40" spans="1:18" ht="55.15" customHeight="1">
      <c r="A40" s="9" t="s">
        <v>40</v>
      </c>
      <c r="B40" s="9">
        <v>310601</v>
      </c>
      <c r="C40" s="9"/>
      <c r="D40" s="10">
        <v>270</v>
      </c>
      <c r="E40" s="10">
        <f t="shared" si="0"/>
        <v>128.57142857142856</v>
      </c>
      <c r="F40" s="6">
        <f t="shared" si="1"/>
        <v>4</v>
      </c>
      <c r="G40" s="9">
        <v>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55.15" customHeight="1">
      <c r="A41" s="9" t="s">
        <v>41</v>
      </c>
      <c r="B41" s="9">
        <v>310206</v>
      </c>
      <c r="C41" s="9"/>
      <c r="D41" s="10">
        <v>215</v>
      </c>
      <c r="E41" s="10">
        <f t="shared" si="0"/>
        <v>102.38095238095238</v>
      </c>
      <c r="F41" s="6">
        <f t="shared" si="1"/>
        <v>4</v>
      </c>
      <c r="G41" s="9">
        <v>4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55.15" customHeight="1">
      <c r="A42" s="9" t="s">
        <v>42</v>
      </c>
      <c r="B42" s="9">
        <v>310205</v>
      </c>
      <c r="C42" s="9"/>
      <c r="D42" s="10">
        <v>215</v>
      </c>
      <c r="E42" s="10">
        <f t="shared" si="0"/>
        <v>102.38095238095238</v>
      </c>
      <c r="F42" s="6">
        <f t="shared" si="1"/>
        <v>3</v>
      </c>
      <c r="G42" s="9">
        <v>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55.15" customHeight="1">
      <c r="A43" s="9" t="s">
        <v>43</v>
      </c>
      <c r="B43" s="9">
        <v>310204</v>
      </c>
      <c r="C43" s="9"/>
      <c r="D43" s="10">
        <v>215</v>
      </c>
      <c r="E43" s="10">
        <f t="shared" si="0"/>
        <v>102.38095238095238</v>
      </c>
      <c r="F43" s="6">
        <f t="shared" si="1"/>
        <v>3</v>
      </c>
      <c r="G43" s="9">
        <v>2</v>
      </c>
      <c r="H43" s="9">
        <v>1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55.15" customHeight="1">
      <c r="A44" s="9" t="s">
        <v>44</v>
      </c>
      <c r="B44" s="9">
        <v>110202</v>
      </c>
      <c r="C44" s="9"/>
      <c r="D44" s="10">
        <v>215</v>
      </c>
      <c r="E44" s="10">
        <f t="shared" si="0"/>
        <v>102.38095238095238</v>
      </c>
      <c r="F44" s="6">
        <f t="shared" si="1"/>
        <v>2</v>
      </c>
      <c r="G44" s="9">
        <v>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55.15" customHeight="1">
      <c r="A45" s="9" t="s">
        <v>45</v>
      </c>
      <c r="B45" s="9">
        <v>110112</v>
      </c>
      <c r="C45" s="9"/>
      <c r="D45" s="10">
        <v>215</v>
      </c>
      <c r="E45" s="10">
        <f t="shared" si="0"/>
        <v>102.38095238095238</v>
      </c>
      <c r="F45" s="6">
        <f t="shared" si="1"/>
        <v>1</v>
      </c>
      <c r="G45" s="9">
        <v>1</v>
      </c>
      <c r="H45" s="9"/>
      <c r="I45" s="9"/>
      <c r="J45" s="9"/>
      <c r="K45" s="9"/>
      <c r="L45" s="9"/>
      <c r="M45" s="9"/>
      <c r="N45" s="9"/>
      <c r="O45" s="9" t="s">
        <v>1</v>
      </c>
      <c r="P45" s="9" t="s">
        <v>1</v>
      </c>
      <c r="Q45" s="9" t="s">
        <v>1</v>
      </c>
      <c r="R45" s="9" t="s">
        <v>1</v>
      </c>
    </row>
    <row r="46" spans="1:18" ht="12.75">
      <c r="F46" s="8">
        <f>SUM(F2:F45)</f>
        <v>6975</v>
      </c>
    </row>
    <row r="47" spans="1:18" ht="12.75">
      <c r="F47" s="8"/>
    </row>
    <row r="48" spans="1:18" ht="12.75">
      <c r="F48" s="8"/>
    </row>
    <row r="49" spans="6:6" ht="12.75">
      <c r="F49" s="8"/>
    </row>
    <row r="50" spans="6:6" ht="12.75">
      <c r="F50" s="8"/>
    </row>
    <row r="51" spans="6:6" ht="12.75">
      <c r="F51" s="8"/>
    </row>
    <row r="52" spans="6:6" ht="12.75">
      <c r="F52" s="8"/>
    </row>
    <row r="53" spans="6:6" ht="12.75">
      <c r="F53" s="8"/>
    </row>
    <row r="54" spans="6:6" ht="12.75">
      <c r="F54" s="8"/>
    </row>
    <row r="55" spans="6:6" ht="12.75">
      <c r="F55" s="8"/>
    </row>
    <row r="56" spans="6:6" ht="12.75">
      <c r="F56" s="8"/>
    </row>
    <row r="57" spans="6:6" ht="12.75">
      <c r="F57" s="8"/>
    </row>
    <row r="58" spans="6:6" ht="12.75">
      <c r="F58" s="8"/>
    </row>
    <row r="59" spans="6:6" ht="12.75">
      <c r="F59" s="8"/>
    </row>
    <row r="60" spans="6:6" ht="12.75">
      <c r="F60" s="8"/>
    </row>
    <row r="61" spans="6:6" ht="12.75">
      <c r="F61" s="8"/>
    </row>
    <row r="62" spans="6:6" ht="12.75">
      <c r="F62" s="8"/>
    </row>
    <row r="63" spans="6:6" ht="12.75">
      <c r="F63" s="8"/>
    </row>
    <row r="64" spans="6:6" ht="12.75">
      <c r="F64" s="8"/>
    </row>
    <row r="65" spans="6:6" ht="12.75">
      <c r="F65" s="8"/>
    </row>
    <row r="66" spans="6:6" ht="12.75">
      <c r="F66" s="8"/>
    </row>
    <row r="67" spans="6:6" ht="12.75">
      <c r="F67" s="8"/>
    </row>
    <row r="68" spans="6:6" ht="12.75">
      <c r="F68" s="8"/>
    </row>
    <row r="69" spans="6:6" ht="12.75">
      <c r="F69" s="8"/>
    </row>
    <row r="70" spans="6:6" ht="12.75">
      <c r="F70" s="8"/>
    </row>
    <row r="71" spans="6:6" ht="12.75">
      <c r="F71" s="8"/>
    </row>
    <row r="72" spans="6:6" ht="12.75">
      <c r="F72" s="8"/>
    </row>
    <row r="73" spans="6:6" ht="12.75">
      <c r="F73" s="8"/>
    </row>
    <row r="74" spans="6:6" ht="12.75">
      <c r="F74" s="8"/>
    </row>
    <row r="75" spans="6:6" ht="12.75">
      <c r="F75" s="8"/>
    </row>
    <row r="76" spans="6:6" ht="12.75">
      <c r="F76" s="8"/>
    </row>
    <row r="77" spans="6:6" ht="12.75">
      <c r="F77" s="8"/>
    </row>
    <row r="78" spans="6:6" ht="12.75">
      <c r="F78" s="8"/>
    </row>
    <row r="79" spans="6:6" ht="12.75">
      <c r="F79" s="8"/>
    </row>
    <row r="80" spans="6:6" ht="12.75">
      <c r="F80" s="8"/>
    </row>
    <row r="81" spans="6:6" ht="12.75">
      <c r="F81" s="8"/>
    </row>
    <row r="82" spans="6:6" ht="12.75">
      <c r="F82" s="8"/>
    </row>
    <row r="83" spans="6:6" ht="12.75">
      <c r="F83" s="8"/>
    </row>
    <row r="84" spans="6:6" ht="12.75">
      <c r="F84" s="8"/>
    </row>
    <row r="85" spans="6:6" ht="12.75">
      <c r="F85" s="8"/>
    </row>
    <row r="86" spans="6:6" ht="12.75">
      <c r="F86" s="8"/>
    </row>
    <row r="87" spans="6:6" ht="12.75">
      <c r="F87" s="8"/>
    </row>
    <row r="88" spans="6:6" ht="12.75">
      <c r="F88" s="8"/>
    </row>
    <row r="89" spans="6:6" ht="12.75">
      <c r="F89" s="8"/>
    </row>
    <row r="90" spans="6:6" ht="12.75">
      <c r="F90" s="8"/>
    </row>
    <row r="91" spans="6:6" ht="12.75">
      <c r="F91" s="8"/>
    </row>
    <row r="92" spans="6:6" ht="12.75">
      <c r="F92" s="8"/>
    </row>
    <row r="93" spans="6:6" ht="12.75">
      <c r="F93" s="8"/>
    </row>
    <row r="94" spans="6:6" ht="12.75">
      <c r="F94" s="8"/>
    </row>
    <row r="95" spans="6:6" ht="12.75">
      <c r="F95" s="8"/>
    </row>
    <row r="96" spans="6:6" ht="12.75">
      <c r="F96" s="8"/>
    </row>
    <row r="97" spans="6:6" ht="12.75">
      <c r="F97" s="8"/>
    </row>
    <row r="98" spans="6:6" ht="12.75">
      <c r="F98" s="8"/>
    </row>
    <row r="99" spans="6:6" ht="12.75">
      <c r="F99" s="8"/>
    </row>
    <row r="100" spans="6:6" ht="12.75">
      <c r="F100" s="8"/>
    </row>
    <row r="101" spans="6:6" ht="12.75">
      <c r="F101" s="8"/>
    </row>
    <row r="102" spans="6:6" ht="12.75">
      <c r="F102" s="8"/>
    </row>
    <row r="103" spans="6:6" ht="12.75">
      <c r="F103" s="8"/>
    </row>
    <row r="104" spans="6:6" ht="12.75">
      <c r="F104" s="8"/>
    </row>
    <row r="105" spans="6:6" ht="12.75">
      <c r="F105" s="8"/>
    </row>
    <row r="106" spans="6:6" ht="12.75">
      <c r="F106" s="8"/>
    </row>
    <row r="107" spans="6:6" ht="12.75">
      <c r="F107" s="8"/>
    </row>
    <row r="108" spans="6:6" ht="12.75">
      <c r="F108" s="8"/>
    </row>
    <row r="109" spans="6:6" ht="12.75">
      <c r="F109" s="8"/>
    </row>
    <row r="110" spans="6:6" ht="12.75">
      <c r="F110" s="8"/>
    </row>
    <row r="111" spans="6:6" ht="12.75">
      <c r="F111" s="8"/>
    </row>
    <row r="112" spans="6:6" ht="12.75">
      <c r="F112" s="8"/>
    </row>
    <row r="113" spans="6:6" ht="12.75">
      <c r="F113" s="8"/>
    </row>
    <row r="114" spans="6:6" ht="12.75">
      <c r="F114" s="8"/>
    </row>
    <row r="115" spans="6:6" ht="12.75">
      <c r="F115" s="8"/>
    </row>
    <row r="116" spans="6:6" ht="12.75">
      <c r="F116" s="8"/>
    </row>
    <row r="117" spans="6:6" ht="12.75">
      <c r="F117" s="8"/>
    </row>
    <row r="118" spans="6:6" ht="12.75">
      <c r="F118" s="8"/>
    </row>
    <row r="119" spans="6:6" ht="12.75">
      <c r="F119" s="8"/>
    </row>
    <row r="120" spans="6:6" ht="12.75">
      <c r="F120" s="8"/>
    </row>
    <row r="121" spans="6:6" ht="12.75">
      <c r="F121" s="8"/>
    </row>
    <row r="122" spans="6:6" ht="12.75">
      <c r="F122" s="8"/>
    </row>
    <row r="123" spans="6:6" ht="12.75">
      <c r="F123" s="8"/>
    </row>
    <row r="124" spans="6:6" ht="12.75">
      <c r="F124" s="8"/>
    </row>
    <row r="125" spans="6:6" ht="12.75">
      <c r="F125" s="8"/>
    </row>
    <row r="126" spans="6:6" ht="12.75">
      <c r="F126" s="8"/>
    </row>
    <row r="127" spans="6:6" ht="12.75">
      <c r="F127" s="8"/>
    </row>
    <row r="128" spans="6:6" ht="12.75">
      <c r="F128" s="8"/>
    </row>
    <row r="129" spans="6:6" ht="12.75">
      <c r="F129" s="8"/>
    </row>
    <row r="130" spans="6:6" ht="12.75">
      <c r="F130" s="8"/>
    </row>
    <row r="131" spans="6:6" ht="12.75">
      <c r="F131" s="8"/>
    </row>
    <row r="132" spans="6:6" ht="12.75">
      <c r="F132" s="8"/>
    </row>
    <row r="133" spans="6:6" ht="12.75">
      <c r="F133" s="8"/>
    </row>
    <row r="134" spans="6:6" ht="12.75">
      <c r="F134" s="8"/>
    </row>
    <row r="135" spans="6:6" ht="12.75">
      <c r="F135" s="8"/>
    </row>
    <row r="136" spans="6:6" ht="12.75">
      <c r="F136" s="8"/>
    </row>
    <row r="137" spans="6:6" ht="12.75">
      <c r="F137" s="8"/>
    </row>
    <row r="138" spans="6:6" ht="12.75">
      <c r="F138" s="8"/>
    </row>
    <row r="139" spans="6:6" ht="12.75">
      <c r="F139" s="8"/>
    </row>
    <row r="140" spans="6:6" ht="12.75">
      <c r="F140" s="8"/>
    </row>
    <row r="141" spans="6:6" ht="12.75">
      <c r="F141" s="8"/>
    </row>
    <row r="142" spans="6:6" ht="12.75">
      <c r="F142" s="8"/>
    </row>
    <row r="143" spans="6:6" ht="12.75">
      <c r="F143" s="8"/>
    </row>
    <row r="144" spans="6:6" ht="12.75">
      <c r="F144" s="8"/>
    </row>
    <row r="145" spans="6:6" ht="12.75">
      <c r="F145" s="8"/>
    </row>
    <row r="146" spans="6:6" ht="12.75">
      <c r="F146" s="8"/>
    </row>
    <row r="147" spans="6:6" ht="12.75">
      <c r="F147" s="8"/>
    </row>
    <row r="148" spans="6:6" ht="12.75">
      <c r="F148" s="8"/>
    </row>
    <row r="149" spans="6:6" ht="12.75">
      <c r="F149" s="8"/>
    </row>
    <row r="150" spans="6:6" ht="12.75">
      <c r="F150" s="8"/>
    </row>
    <row r="151" spans="6:6" ht="12.75">
      <c r="F151" s="8"/>
    </row>
    <row r="152" spans="6:6" ht="12.75">
      <c r="F152" s="8"/>
    </row>
    <row r="153" spans="6:6" ht="12.75">
      <c r="F153" s="8"/>
    </row>
    <row r="154" spans="6:6" ht="12.75">
      <c r="F154" s="8"/>
    </row>
    <row r="155" spans="6:6" ht="12.75">
      <c r="F155" s="8"/>
    </row>
    <row r="156" spans="6:6" ht="12.75">
      <c r="F156" s="8"/>
    </row>
    <row r="157" spans="6:6" ht="12.75">
      <c r="F157" s="8"/>
    </row>
    <row r="158" spans="6:6" ht="12.75">
      <c r="F158" s="8"/>
    </row>
    <row r="159" spans="6:6" ht="12.75">
      <c r="F159" s="8"/>
    </row>
    <row r="160" spans="6:6" ht="12.75">
      <c r="F160" s="8"/>
    </row>
    <row r="161" spans="6:6" ht="12.75">
      <c r="F161" s="8"/>
    </row>
    <row r="162" spans="6:6" ht="12.75">
      <c r="F162" s="8"/>
    </row>
    <row r="163" spans="6:6" ht="12.75">
      <c r="F163" s="8"/>
    </row>
    <row r="164" spans="6:6" ht="12.75">
      <c r="F164" s="8"/>
    </row>
    <row r="165" spans="6:6" ht="12.75">
      <c r="F165" s="8"/>
    </row>
    <row r="166" spans="6:6" ht="12.75">
      <c r="F166" s="8"/>
    </row>
    <row r="167" spans="6:6" ht="12.75">
      <c r="F167" s="8"/>
    </row>
    <row r="168" spans="6:6" ht="12.75">
      <c r="F168" s="8"/>
    </row>
    <row r="169" spans="6:6" ht="12.75">
      <c r="F169" s="8"/>
    </row>
    <row r="170" spans="6:6" ht="12.75">
      <c r="F170" s="8"/>
    </row>
    <row r="171" spans="6:6" ht="12.75">
      <c r="F171" s="8"/>
    </row>
    <row r="172" spans="6:6" ht="12.75">
      <c r="F172" s="8"/>
    </row>
    <row r="173" spans="6:6" ht="12.75">
      <c r="F173" s="8"/>
    </row>
    <row r="174" spans="6:6" ht="12.75">
      <c r="F174" s="8"/>
    </row>
    <row r="175" spans="6:6" ht="12.75">
      <c r="F175" s="8"/>
    </row>
    <row r="176" spans="6:6" ht="12.75">
      <c r="F176" s="8"/>
    </row>
    <row r="177" spans="6:6" ht="12.75">
      <c r="F177" s="8"/>
    </row>
    <row r="178" spans="6:6" ht="12.75">
      <c r="F178" s="8"/>
    </row>
    <row r="179" spans="6:6" ht="12.75">
      <c r="F179" s="8"/>
    </row>
    <row r="180" spans="6:6" ht="12.75">
      <c r="F180" s="8"/>
    </row>
    <row r="181" spans="6:6" ht="12.75">
      <c r="F181" s="8"/>
    </row>
    <row r="182" spans="6:6" ht="12.75">
      <c r="F182" s="8"/>
    </row>
    <row r="183" spans="6:6" ht="12.75">
      <c r="F183" s="8"/>
    </row>
    <row r="184" spans="6:6" ht="12.75">
      <c r="F184" s="8"/>
    </row>
    <row r="185" spans="6:6" ht="12.75">
      <c r="F185" s="8"/>
    </row>
    <row r="186" spans="6:6" ht="12.75">
      <c r="F186" s="8"/>
    </row>
    <row r="187" spans="6:6" ht="12.75">
      <c r="F187" s="8"/>
    </row>
    <row r="188" spans="6:6" ht="12.75">
      <c r="F188" s="8"/>
    </row>
    <row r="189" spans="6:6" ht="12.75">
      <c r="F189" s="8"/>
    </row>
    <row r="190" spans="6:6" ht="12.75">
      <c r="F190" s="8"/>
    </row>
    <row r="191" spans="6:6" ht="12.75">
      <c r="F191" s="8"/>
    </row>
    <row r="192" spans="6:6" ht="12.75">
      <c r="F192" s="8"/>
    </row>
    <row r="193" spans="6:6" ht="12.75">
      <c r="F193" s="8"/>
    </row>
    <row r="194" spans="6:6" ht="12.75">
      <c r="F194" s="8"/>
    </row>
    <row r="195" spans="6:6" ht="12.75">
      <c r="F195" s="8"/>
    </row>
    <row r="196" spans="6:6" ht="12.75">
      <c r="F196" s="8"/>
    </row>
    <row r="197" spans="6:6" ht="12.75">
      <c r="F197" s="8"/>
    </row>
    <row r="198" spans="6:6" ht="12.75">
      <c r="F198" s="8"/>
    </row>
    <row r="199" spans="6:6" ht="12.75">
      <c r="F199" s="8"/>
    </row>
    <row r="200" spans="6:6" ht="12.75">
      <c r="F200" s="8"/>
    </row>
    <row r="201" spans="6:6" ht="12.75">
      <c r="F201" s="8"/>
    </row>
    <row r="202" spans="6:6" ht="12.75">
      <c r="F202" s="8"/>
    </row>
    <row r="203" spans="6:6" ht="12.75">
      <c r="F203" s="8"/>
    </row>
    <row r="204" spans="6:6" ht="12.75">
      <c r="F204" s="8"/>
    </row>
    <row r="205" spans="6:6" ht="12.75">
      <c r="F205" s="8"/>
    </row>
    <row r="206" spans="6:6" ht="12.75">
      <c r="F206" s="8"/>
    </row>
    <row r="207" spans="6:6" ht="12.75">
      <c r="F207" s="8"/>
    </row>
    <row r="208" spans="6:6" ht="12.75">
      <c r="F208" s="8"/>
    </row>
    <row r="209" spans="6:6" ht="12.75">
      <c r="F209" s="8"/>
    </row>
    <row r="210" spans="6:6" ht="12.75">
      <c r="F210" s="8"/>
    </row>
    <row r="211" spans="6:6" ht="12.75">
      <c r="F211" s="8"/>
    </row>
    <row r="212" spans="6:6" ht="12.75">
      <c r="F212" s="8"/>
    </row>
    <row r="213" spans="6:6" ht="12.75">
      <c r="F213" s="8"/>
    </row>
    <row r="214" spans="6:6" ht="12.75">
      <c r="F214" s="8"/>
    </row>
    <row r="215" spans="6:6" ht="12.75">
      <c r="F215" s="8"/>
    </row>
    <row r="216" spans="6:6" ht="12.75">
      <c r="F216" s="8"/>
    </row>
    <row r="217" spans="6:6" ht="12.75">
      <c r="F217" s="8"/>
    </row>
    <row r="218" spans="6:6" ht="12.75">
      <c r="F218" s="8"/>
    </row>
    <row r="219" spans="6:6" ht="12.75">
      <c r="F219" s="8"/>
    </row>
    <row r="220" spans="6:6" ht="12.75">
      <c r="F220" s="8"/>
    </row>
    <row r="221" spans="6:6" ht="12.75">
      <c r="F221" s="8"/>
    </row>
    <row r="222" spans="6:6" ht="12.75">
      <c r="F222" s="8"/>
    </row>
    <row r="223" spans="6:6" ht="12.75">
      <c r="F223" s="8"/>
    </row>
    <row r="224" spans="6:6" ht="12.75">
      <c r="F224" s="8"/>
    </row>
    <row r="225" spans="6:6" ht="12.75">
      <c r="F225" s="8"/>
    </row>
    <row r="226" spans="6:6" ht="12.75">
      <c r="F226" s="8"/>
    </row>
    <row r="227" spans="6:6" ht="12.75">
      <c r="F227" s="8"/>
    </row>
    <row r="228" spans="6:6" ht="12.75">
      <c r="F228" s="8"/>
    </row>
    <row r="229" spans="6:6" ht="12.75">
      <c r="F229" s="8"/>
    </row>
    <row r="230" spans="6:6" ht="12.75">
      <c r="F230" s="8"/>
    </row>
    <row r="231" spans="6:6" ht="12.75">
      <c r="F231" s="8"/>
    </row>
    <row r="232" spans="6:6" ht="12.75">
      <c r="F232" s="8"/>
    </row>
    <row r="233" spans="6:6" ht="12.75">
      <c r="F233" s="8"/>
    </row>
    <row r="234" spans="6:6" ht="12.75">
      <c r="F234" s="8"/>
    </row>
    <row r="235" spans="6:6" ht="12.75">
      <c r="F235" s="8"/>
    </row>
    <row r="236" spans="6:6" ht="12.75">
      <c r="F236" s="8"/>
    </row>
    <row r="237" spans="6:6" ht="12.75">
      <c r="F237" s="8"/>
    </row>
    <row r="238" spans="6:6" ht="12.75">
      <c r="F238" s="8"/>
    </row>
    <row r="239" spans="6:6" ht="12.75">
      <c r="F239" s="8"/>
    </row>
    <row r="240" spans="6:6" ht="12.75">
      <c r="F240" s="8"/>
    </row>
    <row r="241" spans="6:6" ht="12.75">
      <c r="F241" s="8"/>
    </row>
    <row r="242" spans="6:6" ht="12.75">
      <c r="F242" s="8"/>
    </row>
    <row r="243" spans="6:6" ht="12.75">
      <c r="F243" s="8"/>
    </row>
    <row r="244" spans="6:6" ht="12.75">
      <c r="F244" s="8"/>
    </row>
    <row r="245" spans="6:6" ht="12.75">
      <c r="F245" s="8"/>
    </row>
    <row r="246" spans="6:6" ht="12.75">
      <c r="F246" s="8"/>
    </row>
    <row r="247" spans="6:6" ht="12.75">
      <c r="F247" s="8"/>
    </row>
    <row r="248" spans="6:6" ht="12.75">
      <c r="F248" s="8"/>
    </row>
    <row r="249" spans="6:6" ht="12.75">
      <c r="F249" s="8"/>
    </row>
    <row r="250" spans="6:6" ht="12.75">
      <c r="F250" s="8"/>
    </row>
    <row r="251" spans="6:6" ht="12.75">
      <c r="F251" s="8"/>
    </row>
    <row r="252" spans="6:6" ht="12.75">
      <c r="F252" s="8"/>
    </row>
    <row r="253" spans="6:6" ht="12.75">
      <c r="F253" s="8"/>
    </row>
    <row r="254" spans="6:6" ht="12.75">
      <c r="F254" s="8"/>
    </row>
    <row r="255" spans="6:6" ht="12.75">
      <c r="F255" s="8"/>
    </row>
    <row r="256" spans="6:6" ht="12.75">
      <c r="F256" s="8"/>
    </row>
    <row r="257" spans="6:6" ht="12.75">
      <c r="F257" s="8"/>
    </row>
    <row r="258" spans="6:6" ht="12.75">
      <c r="F258" s="8"/>
    </row>
    <row r="259" spans="6:6" ht="12.75">
      <c r="F259" s="8"/>
    </row>
    <row r="260" spans="6:6" ht="12.75">
      <c r="F260" s="8"/>
    </row>
    <row r="261" spans="6:6" ht="12.75">
      <c r="F261" s="8"/>
    </row>
    <row r="262" spans="6:6" ht="12.75">
      <c r="F262" s="8"/>
    </row>
    <row r="263" spans="6:6" ht="12.75">
      <c r="F263" s="8"/>
    </row>
    <row r="264" spans="6:6" ht="12.75">
      <c r="F264" s="8"/>
    </row>
    <row r="265" spans="6:6" ht="12.75">
      <c r="F265" s="8"/>
    </row>
    <row r="266" spans="6:6" ht="12.75">
      <c r="F266" s="8"/>
    </row>
    <row r="267" spans="6:6" ht="12.75">
      <c r="F267" s="8"/>
    </row>
    <row r="268" spans="6:6" ht="12.75">
      <c r="F268" s="8"/>
    </row>
    <row r="269" spans="6:6" ht="12.75">
      <c r="F269" s="8"/>
    </row>
    <row r="270" spans="6:6" ht="12.75">
      <c r="F270" s="8"/>
    </row>
    <row r="271" spans="6:6" ht="12.75">
      <c r="F271" s="8"/>
    </row>
    <row r="272" spans="6:6" ht="12.75">
      <c r="F272" s="8"/>
    </row>
    <row r="273" spans="6:6" ht="12.75">
      <c r="F273" s="8"/>
    </row>
    <row r="274" spans="6:6" ht="12.75">
      <c r="F274" s="8"/>
    </row>
    <row r="275" spans="6:6" ht="12.75">
      <c r="F275" s="8"/>
    </row>
    <row r="276" spans="6:6" ht="12.75">
      <c r="F276" s="8"/>
    </row>
    <row r="277" spans="6:6" ht="12.75">
      <c r="F277" s="8"/>
    </row>
    <row r="278" spans="6:6" ht="12.75">
      <c r="F278" s="8"/>
    </row>
    <row r="279" spans="6:6" ht="12.75">
      <c r="F279" s="8"/>
    </row>
    <row r="280" spans="6:6" ht="12.75">
      <c r="F280" s="8"/>
    </row>
    <row r="281" spans="6:6" ht="12.75">
      <c r="F281" s="8"/>
    </row>
    <row r="282" spans="6:6" ht="12.75">
      <c r="F282" s="8"/>
    </row>
    <row r="283" spans="6:6" ht="12.75">
      <c r="F283" s="8"/>
    </row>
    <row r="284" spans="6:6" ht="12.75">
      <c r="F284" s="8"/>
    </row>
    <row r="285" spans="6:6" ht="12.75">
      <c r="F285" s="8"/>
    </row>
    <row r="286" spans="6:6" ht="12.75">
      <c r="F286" s="8"/>
    </row>
    <row r="287" spans="6:6" ht="12.75">
      <c r="F287" s="8"/>
    </row>
    <row r="288" spans="6:6" ht="12.75">
      <c r="F288" s="8"/>
    </row>
    <row r="289" spans="6:6" ht="12.75">
      <c r="F289" s="8"/>
    </row>
    <row r="290" spans="6:6" ht="12.75">
      <c r="F290" s="8"/>
    </row>
    <row r="291" spans="6:6" ht="12.75">
      <c r="F291" s="8"/>
    </row>
    <row r="292" spans="6:6" ht="12.75">
      <c r="F292" s="8"/>
    </row>
    <row r="293" spans="6:6" ht="12.75">
      <c r="F293" s="8"/>
    </row>
    <row r="294" spans="6:6" ht="12.75">
      <c r="F294" s="8"/>
    </row>
    <row r="295" spans="6:6" ht="12.75">
      <c r="F295" s="8"/>
    </row>
    <row r="296" spans="6:6" ht="12.75">
      <c r="F296" s="8"/>
    </row>
    <row r="297" spans="6:6" ht="12.75">
      <c r="F297" s="8"/>
    </row>
    <row r="298" spans="6:6" ht="12.75">
      <c r="F298" s="8"/>
    </row>
    <row r="299" spans="6:6" ht="12.75">
      <c r="F299" s="8"/>
    </row>
    <row r="300" spans="6:6" ht="12.75">
      <c r="F300" s="8"/>
    </row>
    <row r="301" spans="6:6" ht="12.75">
      <c r="F301" s="8"/>
    </row>
    <row r="302" spans="6:6" ht="12.75">
      <c r="F302" s="8"/>
    </row>
    <row r="303" spans="6:6" ht="12.75">
      <c r="F303" s="8"/>
    </row>
    <row r="304" spans="6:6" ht="12.75">
      <c r="F304" s="8"/>
    </row>
    <row r="305" spans="6:6" ht="12.75">
      <c r="F305" s="8"/>
    </row>
    <row r="306" spans="6:6" ht="12.75">
      <c r="F306" s="8"/>
    </row>
    <row r="307" spans="6:6" ht="12.75">
      <c r="F307" s="8"/>
    </row>
    <row r="308" spans="6:6" ht="12.75">
      <c r="F308" s="8"/>
    </row>
    <row r="309" spans="6:6" ht="12.75">
      <c r="F309" s="8"/>
    </row>
    <row r="310" spans="6:6" ht="12.75">
      <c r="F310" s="8"/>
    </row>
    <row r="311" spans="6:6" ht="12.75">
      <c r="F311" s="8"/>
    </row>
    <row r="312" spans="6:6" ht="12.75">
      <c r="F312" s="8"/>
    </row>
    <row r="313" spans="6:6" ht="12.75">
      <c r="F313" s="8"/>
    </row>
    <row r="314" spans="6:6" ht="12.75">
      <c r="F314" s="8"/>
    </row>
    <row r="315" spans="6:6" ht="12.75">
      <c r="F315" s="8"/>
    </row>
    <row r="316" spans="6:6" ht="12.75">
      <c r="F316" s="8"/>
    </row>
    <row r="317" spans="6:6" ht="12.75">
      <c r="F317" s="8"/>
    </row>
    <row r="318" spans="6:6" ht="12.75">
      <c r="F318" s="8"/>
    </row>
    <row r="319" spans="6:6" ht="12.75">
      <c r="F319" s="8"/>
    </row>
    <row r="320" spans="6:6" ht="12.75">
      <c r="F320" s="8"/>
    </row>
    <row r="321" spans="6:6" ht="12.75">
      <c r="F321" s="8"/>
    </row>
    <row r="322" spans="6:6" ht="12.75">
      <c r="F322" s="8"/>
    </row>
    <row r="323" spans="6:6" ht="12.75">
      <c r="F323" s="8"/>
    </row>
    <row r="324" spans="6:6" ht="12.75">
      <c r="F324" s="8"/>
    </row>
    <row r="325" spans="6:6" ht="12.75">
      <c r="F325" s="8"/>
    </row>
    <row r="326" spans="6:6" ht="12.75">
      <c r="F326" s="8"/>
    </row>
    <row r="327" spans="6:6" ht="12.75">
      <c r="F327" s="8"/>
    </row>
    <row r="328" spans="6:6" ht="12.75">
      <c r="F328" s="8"/>
    </row>
    <row r="329" spans="6:6" ht="12.75">
      <c r="F329" s="8"/>
    </row>
    <row r="330" spans="6:6" ht="12.75">
      <c r="F330" s="8"/>
    </row>
    <row r="331" spans="6:6" ht="12.75">
      <c r="F331" s="8"/>
    </row>
    <row r="332" spans="6:6" ht="12.75">
      <c r="F332" s="8"/>
    </row>
    <row r="333" spans="6:6" ht="12.75">
      <c r="F333" s="8"/>
    </row>
    <row r="334" spans="6:6" ht="12.75">
      <c r="F334" s="8"/>
    </row>
    <row r="335" spans="6:6" ht="12.75">
      <c r="F335" s="8"/>
    </row>
    <row r="336" spans="6:6" ht="12.75">
      <c r="F336" s="8"/>
    </row>
    <row r="337" spans="6:6" ht="12.75">
      <c r="F337" s="8"/>
    </row>
    <row r="338" spans="6:6" ht="12.75">
      <c r="F338" s="8"/>
    </row>
    <row r="339" spans="6:6" ht="12.75">
      <c r="F339" s="8"/>
    </row>
    <row r="340" spans="6:6" ht="12.75">
      <c r="F340" s="8"/>
    </row>
    <row r="341" spans="6:6" ht="12.75">
      <c r="F341" s="8"/>
    </row>
    <row r="342" spans="6:6" ht="12.75">
      <c r="F342" s="8"/>
    </row>
    <row r="343" spans="6:6" ht="12.75">
      <c r="F343" s="8"/>
    </row>
    <row r="344" spans="6:6" ht="12.75">
      <c r="F344" s="8"/>
    </row>
    <row r="345" spans="6:6" ht="12.75">
      <c r="F345" s="8"/>
    </row>
    <row r="346" spans="6:6" ht="12.75">
      <c r="F346" s="8"/>
    </row>
    <row r="347" spans="6:6" ht="12.75">
      <c r="F347" s="8"/>
    </row>
    <row r="348" spans="6:6" ht="12.75">
      <c r="F348" s="8"/>
    </row>
    <row r="349" spans="6:6" ht="12.75">
      <c r="F349" s="8"/>
    </row>
    <row r="350" spans="6:6" ht="12.75">
      <c r="F350" s="8"/>
    </row>
    <row r="351" spans="6:6" ht="12.75">
      <c r="F351" s="8"/>
    </row>
    <row r="352" spans="6:6" ht="12.75">
      <c r="F352" s="8"/>
    </row>
    <row r="353" spans="6:6" ht="12.75">
      <c r="F353" s="8"/>
    </row>
    <row r="354" spans="6:6" ht="12.75">
      <c r="F354" s="8"/>
    </row>
    <row r="355" spans="6:6" ht="12.75">
      <c r="F355" s="8"/>
    </row>
    <row r="356" spans="6:6" ht="12.75">
      <c r="F356" s="8"/>
    </row>
    <row r="357" spans="6:6" ht="12.75">
      <c r="F357" s="8"/>
    </row>
    <row r="358" spans="6:6" ht="12.75">
      <c r="F358" s="8"/>
    </row>
    <row r="359" spans="6:6" ht="12.75">
      <c r="F359" s="8"/>
    </row>
    <row r="360" spans="6:6" ht="12.75">
      <c r="F360" s="8"/>
    </row>
    <row r="361" spans="6:6" ht="12.75">
      <c r="F361" s="8"/>
    </row>
    <row r="362" spans="6:6" ht="12.75">
      <c r="F362" s="8"/>
    </row>
    <row r="363" spans="6:6" ht="12.75">
      <c r="F363" s="8"/>
    </row>
    <row r="364" spans="6:6" ht="12.75">
      <c r="F364" s="8"/>
    </row>
    <row r="365" spans="6:6" ht="12.75">
      <c r="F365" s="8"/>
    </row>
    <row r="366" spans="6:6" ht="12.75">
      <c r="F366" s="8"/>
    </row>
    <row r="367" spans="6:6" ht="12.75">
      <c r="F367" s="8"/>
    </row>
    <row r="368" spans="6:6" ht="12.75">
      <c r="F368" s="8"/>
    </row>
    <row r="369" spans="6:6" ht="12.75">
      <c r="F369" s="8"/>
    </row>
    <row r="370" spans="6:6" ht="12.75">
      <c r="F370" s="8"/>
    </row>
    <row r="371" spans="6:6" ht="12.75">
      <c r="F371" s="8"/>
    </row>
    <row r="372" spans="6:6" ht="12.75">
      <c r="F372" s="8"/>
    </row>
    <row r="373" spans="6:6" ht="12.75">
      <c r="F373" s="8"/>
    </row>
    <row r="374" spans="6:6" ht="12.75">
      <c r="F374" s="8"/>
    </row>
    <row r="375" spans="6:6" ht="12.75">
      <c r="F375" s="8"/>
    </row>
    <row r="376" spans="6:6" ht="12.75">
      <c r="F376" s="8"/>
    </row>
    <row r="377" spans="6:6" ht="12.75">
      <c r="F377" s="8"/>
    </row>
    <row r="378" spans="6:6" ht="12.75">
      <c r="F378" s="8"/>
    </row>
    <row r="379" spans="6:6" ht="12.75">
      <c r="F379" s="8"/>
    </row>
    <row r="380" spans="6:6" ht="12.75">
      <c r="F380" s="8"/>
    </row>
    <row r="381" spans="6:6" ht="12.75">
      <c r="F381" s="8"/>
    </row>
    <row r="382" spans="6:6" ht="12.75">
      <c r="F382" s="8"/>
    </row>
    <row r="383" spans="6:6" ht="12.75">
      <c r="F383" s="8"/>
    </row>
    <row r="384" spans="6:6" ht="12.75">
      <c r="F384" s="8"/>
    </row>
    <row r="385" spans="6:6" ht="12.75">
      <c r="F385" s="8"/>
    </row>
    <row r="386" spans="6:6" ht="12.75">
      <c r="F386" s="8"/>
    </row>
    <row r="387" spans="6:6" ht="12.75">
      <c r="F387" s="8"/>
    </row>
    <row r="388" spans="6:6" ht="12.75">
      <c r="F388" s="8"/>
    </row>
    <row r="389" spans="6:6" ht="12.75">
      <c r="F389" s="8"/>
    </row>
    <row r="390" spans="6:6" ht="12.75">
      <c r="F390" s="8"/>
    </row>
    <row r="391" spans="6:6" ht="12.75">
      <c r="F391" s="8"/>
    </row>
    <row r="392" spans="6:6" ht="12.75">
      <c r="F392" s="8"/>
    </row>
    <row r="393" spans="6:6" ht="12.75">
      <c r="F393" s="8"/>
    </row>
    <row r="394" spans="6:6" ht="12.75">
      <c r="F394" s="8"/>
    </row>
    <row r="395" spans="6:6" ht="12.75">
      <c r="F395" s="8"/>
    </row>
    <row r="396" spans="6:6" ht="12.75">
      <c r="F396" s="8"/>
    </row>
    <row r="397" spans="6:6" ht="12.75">
      <c r="F397" s="8"/>
    </row>
    <row r="398" spans="6:6" ht="12.75">
      <c r="F398" s="8"/>
    </row>
    <row r="399" spans="6:6" ht="12.75">
      <c r="F399" s="8"/>
    </row>
    <row r="400" spans="6:6" ht="12.75">
      <c r="F400" s="8"/>
    </row>
    <row r="401" spans="6:6" ht="12.75">
      <c r="F401" s="8"/>
    </row>
    <row r="402" spans="6:6" ht="12.75">
      <c r="F402" s="8"/>
    </row>
    <row r="403" spans="6:6" ht="12.75">
      <c r="F403" s="8"/>
    </row>
    <row r="404" spans="6:6" ht="12.75">
      <c r="F404" s="8"/>
    </row>
    <row r="405" spans="6:6" ht="12.75">
      <c r="F405" s="8"/>
    </row>
    <row r="406" spans="6:6" ht="12.75">
      <c r="F406" s="8"/>
    </row>
    <row r="407" spans="6:6" ht="12.75">
      <c r="F407" s="8"/>
    </row>
    <row r="408" spans="6:6" ht="12.75">
      <c r="F408" s="8"/>
    </row>
    <row r="409" spans="6:6" ht="12.75">
      <c r="F409" s="8"/>
    </row>
    <row r="410" spans="6:6" ht="12.75">
      <c r="F410" s="8"/>
    </row>
    <row r="411" spans="6:6" ht="12.75">
      <c r="F411" s="8"/>
    </row>
    <row r="412" spans="6:6" ht="12.75">
      <c r="F412" s="8"/>
    </row>
    <row r="413" spans="6:6" ht="12.75">
      <c r="F413" s="8"/>
    </row>
    <row r="414" spans="6:6" ht="12.75">
      <c r="F414" s="8"/>
    </row>
    <row r="415" spans="6:6" ht="12.75">
      <c r="F415" s="8"/>
    </row>
    <row r="416" spans="6:6" ht="12.75">
      <c r="F416" s="8"/>
    </row>
    <row r="417" spans="6:6" ht="12.75">
      <c r="F417" s="8"/>
    </row>
    <row r="418" spans="6:6" ht="12.75">
      <c r="F418" s="8"/>
    </row>
    <row r="419" spans="6:6" ht="12.75">
      <c r="F419" s="8"/>
    </row>
    <row r="420" spans="6:6" ht="12.75">
      <c r="F420" s="8"/>
    </row>
    <row r="421" spans="6:6" ht="12.75">
      <c r="F421" s="8"/>
    </row>
    <row r="422" spans="6:6" ht="12.75">
      <c r="F422" s="8"/>
    </row>
    <row r="423" spans="6:6" ht="12.75">
      <c r="F423" s="8"/>
    </row>
    <row r="424" spans="6:6" ht="12.75">
      <c r="F424" s="8"/>
    </row>
    <row r="425" spans="6:6" ht="12.75">
      <c r="F425" s="8"/>
    </row>
    <row r="426" spans="6:6" ht="12.75">
      <c r="F426" s="8"/>
    </row>
    <row r="427" spans="6:6" ht="12.75">
      <c r="F427" s="8"/>
    </row>
    <row r="428" spans="6:6" ht="12.75">
      <c r="F428" s="8"/>
    </row>
    <row r="429" spans="6:6" ht="12.75">
      <c r="F429" s="8"/>
    </row>
    <row r="430" spans="6:6" ht="12.75">
      <c r="F430" s="8"/>
    </row>
    <row r="431" spans="6:6" ht="12.75">
      <c r="F431" s="8"/>
    </row>
    <row r="432" spans="6:6" ht="12.75">
      <c r="F432" s="8"/>
    </row>
    <row r="433" spans="6:6" ht="12.75">
      <c r="F433" s="8"/>
    </row>
    <row r="434" spans="6:6" ht="12.75">
      <c r="F434" s="8"/>
    </row>
    <row r="435" spans="6:6" ht="12.75">
      <c r="F435" s="8"/>
    </row>
    <row r="436" spans="6:6" ht="12.75">
      <c r="F436" s="8"/>
    </row>
    <row r="437" spans="6:6" ht="12.75">
      <c r="F437" s="8"/>
    </row>
    <row r="438" spans="6:6" ht="12.75">
      <c r="F438" s="8"/>
    </row>
    <row r="439" spans="6:6" ht="12.75">
      <c r="F439" s="8"/>
    </row>
    <row r="440" spans="6:6" ht="12.75">
      <c r="F440" s="8"/>
    </row>
    <row r="441" spans="6:6" ht="12.75">
      <c r="F441" s="8"/>
    </row>
    <row r="442" spans="6:6" ht="12.75">
      <c r="F442" s="8"/>
    </row>
    <row r="443" spans="6:6" ht="12.75">
      <c r="F443" s="8"/>
    </row>
    <row r="444" spans="6:6" ht="12.75">
      <c r="F444" s="8"/>
    </row>
    <row r="445" spans="6:6" ht="12.75">
      <c r="F445" s="8"/>
    </row>
    <row r="446" spans="6:6" ht="12.75">
      <c r="F446" s="8"/>
    </row>
    <row r="447" spans="6:6" ht="12.75">
      <c r="F447" s="8"/>
    </row>
    <row r="448" spans="6:6" ht="12.75">
      <c r="F448" s="8"/>
    </row>
    <row r="449" spans="6:6" ht="12.75">
      <c r="F449" s="8"/>
    </row>
    <row r="450" spans="6:6" ht="12.75">
      <c r="F450" s="8"/>
    </row>
    <row r="451" spans="6:6" ht="12.75">
      <c r="F451" s="8"/>
    </row>
    <row r="452" spans="6:6" ht="12.75">
      <c r="F452" s="8"/>
    </row>
    <row r="453" spans="6:6" ht="12.75">
      <c r="F453" s="8"/>
    </row>
    <row r="454" spans="6:6" ht="12.75">
      <c r="F454" s="8"/>
    </row>
    <row r="455" spans="6:6" ht="12.75">
      <c r="F455" s="8"/>
    </row>
    <row r="456" spans="6:6" ht="12.75">
      <c r="F456" s="8"/>
    </row>
    <row r="457" spans="6:6" ht="12.75">
      <c r="F457" s="8"/>
    </row>
    <row r="458" spans="6:6" ht="12.75">
      <c r="F458" s="8"/>
    </row>
    <row r="459" spans="6:6" ht="12.75">
      <c r="F459" s="8"/>
    </row>
    <row r="460" spans="6:6" ht="12.75">
      <c r="F460" s="8"/>
    </row>
    <row r="461" spans="6:6" ht="12.75">
      <c r="F461" s="8"/>
    </row>
    <row r="462" spans="6:6" ht="12.75">
      <c r="F462" s="8"/>
    </row>
    <row r="463" spans="6:6" ht="12.75">
      <c r="F463" s="8"/>
    </row>
    <row r="464" spans="6:6" ht="12.75">
      <c r="F464" s="8"/>
    </row>
    <row r="465" spans="6:6" ht="12.75">
      <c r="F465" s="8"/>
    </row>
    <row r="466" spans="6:6" ht="12.75">
      <c r="F466" s="8"/>
    </row>
    <row r="467" spans="6:6" ht="12.75">
      <c r="F467" s="8"/>
    </row>
    <row r="468" spans="6:6" ht="12.75">
      <c r="F468" s="8"/>
    </row>
    <row r="469" spans="6:6" ht="12.75">
      <c r="F469" s="8"/>
    </row>
    <row r="470" spans="6:6" ht="12.75">
      <c r="F470" s="8"/>
    </row>
    <row r="471" spans="6:6" ht="12.75">
      <c r="F471" s="8"/>
    </row>
    <row r="472" spans="6:6" ht="12.75">
      <c r="F472" s="8"/>
    </row>
    <row r="473" spans="6:6" ht="12.75">
      <c r="F473" s="8"/>
    </row>
    <row r="474" spans="6:6" ht="12.75">
      <c r="F474" s="8"/>
    </row>
    <row r="475" spans="6:6" ht="12.75">
      <c r="F475" s="8"/>
    </row>
    <row r="476" spans="6:6" ht="12.75">
      <c r="F476" s="8"/>
    </row>
    <row r="477" spans="6:6" ht="12.75">
      <c r="F477" s="8"/>
    </row>
    <row r="478" spans="6:6" ht="12.75">
      <c r="F478" s="8"/>
    </row>
    <row r="479" spans="6:6" ht="12.75">
      <c r="F479" s="8"/>
    </row>
    <row r="480" spans="6:6" ht="12.75">
      <c r="F480" s="8"/>
    </row>
    <row r="481" spans="6:6" ht="12.75">
      <c r="F481" s="8"/>
    </row>
    <row r="482" spans="6:6" ht="12.75">
      <c r="F482" s="8"/>
    </row>
    <row r="483" spans="6:6" ht="12.75">
      <c r="F483" s="8"/>
    </row>
    <row r="484" spans="6:6" ht="12.75">
      <c r="F484" s="8"/>
    </row>
    <row r="485" spans="6:6" ht="12.75">
      <c r="F485" s="8"/>
    </row>
    <row r="486" spans="6:6" ht="12.75">
      <c r="F486" s="8"/>
    </row>
    <row r="487" spans="6:6" ht="12.75">
      <c r="F487" s="8"/>
    </row>
    <row r="488" spans="6:6" ht="12.75">
      <c r="F488" s="8"/>
    </row>
    <row r="489" spans="6:6" ht="12.75">
      <c r="F489" s="8"/>
    </row>
    <row r="490" spans="6:6" ht="12.75">
      <c r="F490" s="8"/>
    </row>
    <row r="491" spans="6:6" ht="12.75">
      <c r="F491" s="8"/>
    </row>
    <row r="492" spans="6:6" ht="12.75">
      <c r="F492" s="8"/>
    </row>
    <row r="493" spans="6:6" ht="12.75">
      <c r="F493" s="8"/>
    </row>
    <row r="494" spans="6:6" ht="12.75">
      <c r="F494" s="8"/>
    </row>
    <row r="495" spans="6:6" ht="12.75">
      <c r="F495" s="8"/>
    </row>
    <row r="496" spans="6:6" ht="12.75">
      <c r="F496" s="8"/>
    </row>
    <row r="497" spans="6:6" ht="12.75">
      <c r="F497" s="8"/>
    </row>
    <row r="498" spans="6:6" ht="12.75">
      <c r="F498" s="8"/>
    </row>
    <row r="499" spans="6:6" ht="12.75">
      <c r="F499" s="8"/>
    </row>
    <row r="500" spans="6:6" ht="12.75">
      <c r="F500" s="8"/>
    </row>
    <row r="501" spans="6:6" ht="12.75">
      <c r="F501" s="8"/>
    </row>
    <row r="502" spans="6:6" ht="12.75">
      <c r="F502" s="8"/>
    </row>
    <row r="503" spans="6:6" ht="12.75">
      <c r="F503" s="8"/>
    </row>
    <row r="504" spans="6:6" ht="12.75">
      <c r="F504" s="8"/>
    </row>
    <row r="505" spans="6:6" ht="12.75">
      <c r="F505" s="8"/>
    </row>
    <row r="506" spans="6:6" ht="12.75">
      <c r="F506" s="8"/>
    </row>
    <row r="507" spans="6:6" ht="12.75">
      <c r="F507" s="8"/>
    </row>
    <row r="508" spans="6:6" ht="12.75">
      <c r="F508" s="8"/>
    </row>
    <row r="509" spans="6:6" ht="12.75">
      <c r="F509" s="8"/>
    </row>
    <row r="510" spans="6:6" ht="12.75">
      <c r="F510" s="8"/>
    </row>
    <row r="511" spans="6:6" ht="12.75">
      <c r="F511" s="8"/>
    </row>
    <row r="512" spans="6:6" ht="12.75">
      <c r="F512" s="8"/>
    </row>
    <row r="513" spans="6:6" ht="12.75">
      <c r="F513" s="8"/>
    </row>
    <row r="514" spans="6:6" ht="12.75">
      <c r="F514" s="8"/>
    </row>
    <row r="515" spans="6:6" ht="12.75">
      <c r="F515" s="8"/>
    </row>
    <row r="516" spans="6:6" ht="12.75">
      <c r="F516" s="8"/>
    </row>
    <row r="517" spans="6:6" ht="12.75">
      <c r="F517" s="8"/>
    </row>
    <row r="518" spans="6:6" ht="12.75">
      <c r="F518" s="8"/>
    </row>
    <row r="519" spans="6:6" ht="12.75">
      <c r="F519" s="8"/>
    </row>
    <row r="520" spans="6:6" ht="12.75">
      <c r="F520" s="8"/>
    </row>
    <row r="521" spans="6:6" ht="12.75">
      <c r="F521" s="8"/>
    </row>
    <row r="522" spans="6:6" ht="12.75">
      <c r="F522" s="8"/>
    </row>
    <row r="523" spans="6:6" ht="12.75">
      <c r="F523" s="8"/>
    </row>
    <row r="524" spans="6:6" ht="12.75">
      <c r="F524" s="8"/>
    </row>
    <row r="525" spans="6:6" ht="12.75">
      <c r="F525" s="8"/>
    </row>
    <row r="526" spans="6:6" ht="12.75">
      <c r="F526" s="8"/>
    </row>
    <row r="527" spans="6:6" ht="12.75">
      <c r="F527" s="8"/>
    </row>
    <row r="528" spans="6:6" ht="12.75">
      <c r="F528" s="8"/>
    </row>
    <row r="529" spans="6:6" ht="12.75">
      <c r="F529" s="8"/>
    </row>
    <row r="530" spans="6:6" ht="12.75">
      <c r="F530" s="8"/>
    </row>
    <row r="531" spans="6:6" ht="12.75">
      <c r="F531" s="8"/>
    </row>
    <row r="532" spans="6:6" ht="12.75">
      <c r="F532" s="8"/>
    </row>
    <row r="533" spans="6:6" ht="12.75">
      <c r="F533" s="8"/>
    </row>
    <row r="534" spans="6:6" ht="12.75">
      <c r="F534" s="8"/>
    </row>
    <row r="535" spans="6:6" ht="12.75">
      <c r="F535" s="8"/>
    </row>
    <row r="536" spans="6:6" ht="12.75">
      <c r="F536" s="8"/>
    </row>
    <row r="537" spans="6:6" ht="12.75">
      <c r="F537" s="8"/>
    </row>
    <row r="538" spans="6:6" ht="12.75">
      <c r="F538" s="8"/>
    </row>
    <row r="539" spans="6:6" ht="12.75">
      <c r="F539" s="8"/>
    </row>
    <row r="540" spans="6:6" ht="12.75">
      <c r="F540" s="8"/>
    </row>
    <row r="541" spans="6:6" ht="12.75">
      <c r="F541" s="8"/>
    </row>
    <row r="542" spans="6:6" ht="12.75">
      <c r="F542" s="8"/>
    </row>
    <row r="543" spans="6:6" ht="12.75">
      <c r="F543" s="8"/>
    </row>
    <row r="544" spans="6:6" ht="12.75">
      <c r="F544" s="8"/>
    </row>
    <row r="545" spans="6:6" ht="12.75">
      <c r="F545" s="8"/>
    </row>
    <row r="546" spans="6:6" ht="12.75">
      <c r="F546" s="8"/>
    </row>
    <row r="547" spans="6:6" ht="12.75">
      <c r="F547" s="8"/>
    </row>
    <row r="548" spans="6:6" ht="12.75">
      <c r="F548" s="8"/>
    </row>
    <row r="549" spans="6:6" ht="12.75">
      <c r="F549" s="8"/>
    </row>
    <row r="550" spans="6:6" ht="12.75">
      <c r="F550" s="8"/>
    </row>
    <row r="551" spans="6:6" ht="12.75">
      <c r="F551" s="8"/>
    </row>
    <row r="552" spans="6:6" ht="12.75">
      <c r="F552" s="8"/>
    </row>
    <row r="553" spans="6:6" ht="12.75">
      <c r="F553" s="8"/>
    </row>
    <row r="554" spans="6:6" ht="12.75">
      <c r="F554" s="8"/>
    </row>
    <row r="555" spans="6:6" ht="12.75">
      <c r="F555" s="8"/>
    </row>
    <row r="556" spans="6:6" ht="12.75">
      <c r="F556" s="8"/>
    </row>
    <row r="557" spans="6:6" ht="12.75">
      <c r="F557" s="8"/>
    </row>
    <row r="558" spans="6:6" ht="12.75">
      <c r="F558" s="8"/>
    </row>
    <row r="559" spans="6:6" ht="12.75">
      <c r="F559" s="8"/>
    </row>
    <row r="560" spans="6:6" ht="12.75">
      <c r="F560" s="8"/>
    </row>
    <row r="561" spans="6:6" ht="12.75">
      <c r="F561" s="8"/>
    </row>
    <row r="562" spans="6:6" ht="12.75">
      <c r="F562" s="8"/>
    </row>
    <row r="563" spans="6:6" ht="12.75">
      <c r="F563" s="8"/>
    </row>
    <row r="564" spans="6:6" ht="12.75">
      <c r="F564" s="8"/>
    </row>
    <row r="565" spans="6:6" ht="12.75">
      <c r="F565" s="8"/>
    </row>
    <row r="566" spans="6:6" ht="12.75">
      <c r="F566" s="8"/>
    </row>
    <row r="567" spans="6:6" ht="12.75">
      <c r="F567" s="8"/>
    </row>
    <row r="568" spans="6:6" ht="12.75">
      <c r="F568" s="8"/>
    </row>
    <row r="569" spans="6:6" ht="12.75">
      <c r="F569" s="8"/>
    </row>
    <row r="570" spans="6:6" ht="12.75">
      <c r="F570" s="8"/>
    </row>
    <row r="571" spans="6:6" ht="12.75">
      <c r="F571" s="8"/>
    </row>
    <row r="572" spans="6:6" ht="12.75">
      <c r="F572" s="8"/>
    </row>
    <row r="573" spans="6:6" ht="12.75">
      <c r="F573" s="8"/>
    </row>
    <row r="574" spans="6:6" ht="12.75">
      <c r="F574" s="8"/>
    </row>
    <row r="575" spans="6:6" ht="12.75">
      <c r="F575" s="8"/>
    </row>
    <row r="576" spans="6:6" ht="12.75">
      <c r="F576" s="8"/>
    </row>
    <row r="577" spans="6:6" ht="12.75">
      <c r="F577" s="8"/>
    </row>
    <row r="578" spans="6:6" ht="12.75">
      <c r="F578" s="8"/>
    </row>
    <row r="579" spans="6:6" ht="12.75">
      <c r="F579" s="8"/>
    </row>
    <row r="580" spans="6:6" ht="12.75">
      <c r="F580" s="8"/>
    </row>
    <row r="581" spans="6:6" ht="12.75">
      <c r="F581" s="8"/>
    </row>
    <row r="582" spans="6:6" ht="12.75">
      <c r="F582" s="8"/>
    </row>
    <row r="583" spans="6:6" ht="12.75">
      <c r="F583" s="8"/>
    </row>
    <row r="584" spans="6:6" ht="12.75">
      <c r="F584" s="8"/>
    </row>
    <row r="585" spans="6:6" ht="12.75">
      <c r="F585" s="8"/>
    </row>
    <row r="586" spans="6:6" ht="12.75">
      <c r="F586" s="8"/>
    </row>
    <row r="587" spans="6:6" ht="12.75">
      <c r="F587" s="8"/>
    </row>
    <row r="588" spans="6:6" ht="12.75">
      <c r="F588" s="8"/>
    </row>
    <row r="589" spans="6:6" ht="12.75">
      <c r="F589" s="8"/>
    </row>
    <row r="590" spans="6:6" ht="12.75">
      <c r="F590" s="8"/>
    </row>
    <row r="591" spans="6:6" ht="12.75">
      <c r="F591" s="8"/>
    </row>
    <row r="592" spans="6:6" ht="12.75">
      <c r="F592" s="8"/>
    </row>
    <row r="593" spans="6:6" ht="12.75">
      <c r="F593" s="8"/>
    </row>
    <row r="594" spans="6:6" ht="12.75">
      <c r="F594" s="8"/>
    </row>
    <row r="595" spans="6:6" ht="12.75">
      <c r="F595" s="8"/>
    </row>
    <row r="596" spans="6:6" ht="12.75">
      <c r="F596" s="8"/>
    </row>
    <row r="597" spans="6:6" ht="12.75">
      <c r="F597" s="8"/>
    </row>
    <row r="598" spans="6:6" ht="12.75">
      <c r="F598" s="8"/>
    </row>
    <row r="599" spans="6:6" ht="12.75">
      <c r="F599" s="8"/>
    </row>
    <row r="600" spans="6:6" ht="12.75">
      <c r="F600" s="8"/>
    </row>
    <row r="601" spans="6:6" ht="12.75">
      <c r="F601" s="8"/>
    </row>
    <row r="602" spans="6:6" ht="12.75">
      <c r="F602" s="8"/>
    </row>
    <row r="603" spans="6:6" ht="12.75">
      <c r="F603" s="8"/>
    </row>
    <row r="604" spans="6:6" ht="12.75">
      <c r="F604" s="8"/>
    </row>
    <row r="605" spans="6:6" ht="12.75">
      <c r="F605" s="8"/>
    </row>
    <row r="606" spans="6:6" ht="12.75">
      <c r="F606" s="8"/>
    </row>
    <row r="607" spans="6:6" ht="12.75">
      <c r="F607" s="8"/>
    </row>
    <row r="608" spans="6:6" ht="12.75">
      <c r="F608" s="8"/>
    </row>
    <row r="609" spans="6:6" ht="12.75">
      <c r="F609" s="8"/>
    </row>
    <row r="610" spans="6:6" ht="12.75">
      <c r="F610" s="8"/>
    </row>
    <row r="611" spans="6:6" ht="12.75">
      <c r="F611" s="8"/>
    </row>
    <row r="612" spans="6:6" ht="12.75">
      <c r="F612" s="8"/>
    </row>
    <row r="613" spans="6:6" ht="12.75">
      <c r="F613" s="8"/>
    </row>
    <row r="614" spans="6:6" ht="12.75">
      <c r="F614" s="8"/>
    </row>
    <row r="615" spans="6:6" ht="12.75">
      <c r="F615" s="8"/>
    </row>
    <row r="616" spans="6:6" ht="12.75">
      <c r="F616" s="8"/>
    </row>
    <row r="617" spans="6:6" ht="12.75">
      <c r="F617" s="8"/>
    </row>
    <row r="618" spans="6:6" ht="12.75">
      <c r="F618" s="8"/>
    </row>
    <row r="619" spans="6:6" ht="12.75">
      <c r="F619" s="8"/>
    </row>
    <row r="620" spans="6:6" ht="12.75">
      <c r="F620" s="8"/>
    </row>
    <row r="621" spans="6:6" ht="12.75">
      <c r="F621" s="8"/>
    </row>
    <row r="622" spans="6:6" ht="12.75">
      <c r="F622" s="8"/>
    </row>
    <row r="623" spans="6:6" ht="12.75">
      <c r="F623" s="8"/>
    </row>
    <row r="624" spans="6:6" ht="12.75">
      <c r="F624" s="8"/>
    </row>
    <row r="625" spans="6:6" ht="12.75">
      <c r="F625" s="8"/>
    </row>
    <row r="626" spans="6:6" ht="12.75">
      <c r="F626" s="8"/>
    </row>
    <row r="627" spans="6:6" ht="12.75">
      <c r="F627" s="8"/>
    </row>
    <row r="628" spans="6:6" ht="12.75">
      <c r="F628" s="8"/>
    </row>
    <row r="629" spans="6:6" ht="12.75">
      <c r="F629" s="8"/>
    </row>
    <row r="630" spans="6:6" ht="12.75">
      <c r="F630" s="8"/>
    </row>
    <row r="631" spans="6:6" ht="12.75">
      <c r="F631" s="8"/>
    </row>
    <row r="632" spans="6:6" ht="12.75">
      <c r="F632" s="8"/>
    </row>
    <row r="633" spans="6:6" ht="12.75">
      <c r="F633" s="8"/>
    </row>
    <row r="634" spans="6:6" ht="12.75">
      <c r="F634" s="8"/>
    </row>
    <row r="635" spans="6:6" ht="12.75">
      <c r="F635" s="8"/>
    </row>
    <row r="636" spans="6:6" ht="12.75">
      <c r="F636" s="8"/>
    </row>
    <row r="637" spans="6:6" ht="12.75">
      <c r="F637" s="8"/>
    </row>
    <row r="638" spans="6:6" ht="12.75">
      <c r="F638" s="8"/>
    </row>
    <row r="639" spans="6:6" ht="12.75">
      <c r="F639" s="8"/>
    </row>
    <row r="640" spans="6:6" ht="12.75">
      <c r="F640" s="8"/>
    </row>
    <row r="641" spans="6:6" ht="12.75">
      <c r="F641" s="8"/>
    </row>
    <row r="642" spans="6:6" ht="12.75">
      <c r="F642" s="8"/>
    </row>
    <row r="643" spans="6:6" ht="12.75">
      <c r="F643" s="8"/>
    </row>
    <row r="644" spans="6:6" ht="12.75">
      <c r="F644" s="8"/>
    </row>
    <row r="645" spans="6:6" ht="12.75">
      <c r="F645" s="8"/>
    </row>
    <row r="646" spans="6:6" ht="12.75">
      <c r="F646" s="8"/>
    </row>
    <row r="647" spans="6:6" ht="12.75">
      <c r="F647" s="8"/>
    </row>
    <row r="648" spans="6:6" ht="12.75">
      <c r="F648" s="8"/>
    </row>
    <row r="649" spans="6:6" ht="12.75">
      <c r="F649" s="8"/>
    </row>
    <row r="650" spans="6:6" ht="12.75">
      <c r="F650" s="8"/>
    </row>
    <row r="651" spans="6:6" ht="12.75">
      <c r="F651" s="8"/>
    </row>
    <row r="652" spans="6:6" ht="12.75">
      <c r="F652" s="8"/>
    </row>
    <row r="653" spans="6:6" ht="12.75">
      <c r="F653" s="8"/>
    </row>
    <row r="654" spans="6:6" ht="12.75">
      <c r="F654" s="8"/>
    </row>
    <row r="655" spans="6:6" ht="12.75">
      <c r="F655" s="8"/>
    </row>
    <row r="656" spans="6:6" ht="12.75">
      <c r="F656" s="8"/>
    </row>
    <row r="657" spans="6:6" ht="12.75">
      <c r="F657" s="8"/>
    </row>
    <row r="658" spans="6:6" ht="12.75">
      <c r="F658" s="8"/>
    </row>
    <row r="659" spans="6:6" ht="12.75">
      <c r="F659" s="8"/>
    </row>
    <row r="660" spans="6:6" ht="12.75">
      <c r="F660" s="8"/>
    </row>
    <row r="661" spans="6:6" ht="12.75">
      <c r="F661" s="8"/>
    </row>
    <row r="662" spans="6:6" ht="12.75">
      <c r="F662" s="8"/>
    </row>
    <row r="663" spans="6:6" ht="12.75">
      <c r="F663" s="8"/>
    </row>
    <row r="664" spans="6:6" ht="12.75">
      <c r="F664" s="8"/>
    </row>
    <row r="665" spans="6:6" ht="12.75">
      <c r="F665" s="8"/>
    </row>
    <row r="666" spans="6:6" ht="12.75">
      <c r="F666" s="8"/>
    </row>
    <row r="667" spans="6:6" ht="12.75">
      <c r="F667" s="8"/>
    </row>
    <row r="668" spans="6:6" ht="12.75">
      <c r="F668" s="8"/>
    </row>
    <row r="669" spans="6:6" ht="12.75">
      <c r="F669" s="8"/>
    </row>
    <row r="670" spans="6:6" ht="12.75">
      <c r="F670" s="8"/>
    </row>
    <row r="671" spans="6:6" ht="12.75">
      <c r="F671" s="8"/>
    </row>
    <row r="672" spans="6:6" ht="12.75">
      <c r="F672" s="8"/>
    </row>
    <row r="673" spans="6:6" ht="12.75">
      <c r="F673" s="8"/>
    </row>
    <row r="674" spans="6:6" ht="12.75">
      <c r="F674" s="8"/>
    </row>
    <row r="675" spans="6:6" ht="12.75">
      <c r="F675" s="8"/>
    </row>
    <row r="676" spans="6:6" ht="12.75">
      <c r="F676" s="8"/>
    </row>
    <row r="677" spans="6:6" ht="12.75">
      <c r="F677" s="8"/>
    </row>
    <row r="678" spans="6:6" ht="12.75">
      <c r="F678" s="8"/>
    </row>
    <row r="679" spans="6:6" ht="12.75">
      <c r="F679" s="8"/>
    </row>
    <row r="680" spans="6:6" ht="12.75">
      <c r="F680" s="8"/>
    </row>
    <row r="681" spans="6:6" ht="12.75">
      <c r="F681" s="8"/>
    </row>
    <row r="682" spans="6:6" ht="12.75">
      <c r="F682" s="8"/>
    </row>
    <row r="683" spans="6:6" ht="12.75">
      <c r="F683" s="8"/>
    </row>
    <row r="684" spans="6:6" ht="12.75">
      <c r="F684" s="8"/>
    </row>
    <row r="685" spans="6:6" ht="12.75">
      <c r="F685" s="8"/>
    </row>
    <row r="686" spans="6:6" ht="12.75">
      <c r="F686" s="8"/>
    </row>
    <row r="687" spans="6:6" ht="12.75">
      <c r="F687" s="8"/>
    </row>
    <row r="688" spans="6:6" ht="12.75">
      <c r="F688" s="8"/>
    </row>
    <row r="689" spans="6:6" ht="12.75">
      <c r="F689" s="8"/>
    </row>
    <row r="690" spans="6:6" ht="12.75">
      <c r="F690" s="8"/>
    </row>
    <row r="691" spans="6:6" ht="12.75">
      <c r="F691" s="8"/>
    </row>
    <row r="692" spans="6:6" ht="12.75">
      <c r="F692" s="8"/>
    </row>
    <row r="693" spans="6:6" ht="12.75">
      <c r="F693" s="8"/>
    </row>
    <row r="694" spans="6:6" ht="12.75">
      <c r="F694" s="8"/>
    </row>
    <row r="695" spans="6:6" ht="12.75">
      <c r="F695" s="8"/>
    </row>
    <row r="696" spans="6:6" ht="12.75">
      <c r="F696" s="8"/>
    </row>
    <row r="697" spans="6:6" ht="12.75">
      <c r="F697" s="8"/>
    </row>
    <row r="698" spans="6:6" ht="12.75">
      <c r="F698" s="8"/>
    </row>
    <row r="699" spans="6:6" ht="12.75">
      <c r="F699" s="8"/>
    </row>
    <row r="700" spans="6:6" ht="12.75">
      <c r="F700" s="8"/>
    </row>
    <row r="701" spans="6:6" ht="12.75">
      <c r="F701" s="8"/>
    </row>
    <row r="702" spans="6:6" ht="12.75">
      <c r="F702" s="8"/>
    </row>
    <row r="703" spans="6:6" ht="12.75">
      <c r="F703" s="8"/>
    </row>
    <row r="704" spans="6:6" ht="12.75">
      <c r="F704" s="8"/>
    </row>
    <row r="705" spans="6:6" ht="12.75">
      <c r="F705" s="8"/>
    </row>
    <row r="706" spans="6:6" ht="12.75">
      <c r="F706" s="8"/>
    </row>
    <row r="707" spans="6:6" ht="12.75">
      <c r="F707" s="8"/>
    </row>
    <row r="708" spans="6:6" ht="12.75">
      <c r="F708" s="8"/>
    </row>
    <row r="709" spans="6:6" ht="12.75">
      <c r="F709" s="8"/>
    </row>
    <row r="710" spans="6:6" ht="12.75">
      <c r="F710" s="8"/>
    </row>
    <row r="711" spans="6:6" ht="12.75">
      <c r="F711" s="8"/>
    </row>
    <row r="712" spans="6:6" ht="12.75">
      <c r="F712" s="8"/>
    </row>
    <row r="713" spans="6:6" ht="12.75">
      <c r="F713" s="8"/>
    </row>
    <row r="714" spans="6:6" ht="12.75">
      <c r="F714" s="8"/>
    </row>
    <row r="715" spans="6:6" ht="12.75">
      <c r="F715" s="8"/>
    </row>
    <row r="716" spans="6:6" ht="12.75">
      <c r="F716" s="8"/>
    </row>
    <row r="717" spans="6:6" ht="12.75">
      <c r="F717" s="8"/>
    </row>
    <row r="718" spans="6:6" ht="12.75">
      <c r="F718" s="8"/>
    </row>
    <row r="719" spans="6:6" ht="12.75">
      <c r="F719" s="8"/>
    </row>
    <row r="720" spans="6:6" ht="12.75">
      <c r="F720" s="8"/>
    </row>
    <row r="721" spans="6:6" ht="12.75">
      <c r="F721" s="8"/>
    </row>
    <row r="722" spans="6:6" ht="12.75">
      <c r="F722" s="8"/>
    </row>
    <row r="723" spans="6:6" ht="12.75">
      <c r="F723" s="8"/>
    </row>
    <row r="724" spans="6:6" ht="12.75">
      <c r="F724" s="8"/>
    </row>
    <row r="725" spans="6:6" ht="12.75">
      <c r="F725" s="8"/>
    </row>
    <row r="726" spans="6:6" ht="12.75">
      <c r="F726" s="8"/>
    </row>
    <row r="727" spans="6:6" ht="12.75">
      <c r="F727" s="8"/>
    </row>
    <row r="728" spans="6:6" ht="12.75">
      <c r="F728" s="8"/>
    </row>
    <row r="729" spans="6:6" ht="12.75">
      <c r="F729" s="8"/>
    </row>
    <row r="730" spans="6:6" ht="12.75">
      <c r="F730" s="8"/>
    </row>
    <row r="731" spans="6:6" ht="12.75">
      <c r="F731" s="8"/>
    </row>
    <row r="732" spans="6:6" ht="12.75">
      <c r="F732" s="8"/>
    </row>
    <row r="733" spans="6:6" ht="12.75">
      <c r="F733" s="8"/>
    </row>
    <row r="734" spans="6:6" ht="12.75">
      <c r="F734" s="8"/>
    </row>
    <row r="735" spans="6:6" ht="12.75">
      <c r="F735" s="8"/>
    </row>
    <row r="736" spans="6:6" ht="12.75">
      <c r="F736" s="8"/>
    </row>
    <row r="737" spans="6:6" ht="12.75">
      <c r="F737" s="8"/>
    </row>
    <row r="738" spans="6:6" ht="12.75">
      <c r="F738" s="8"/>
    </row>
    <row r="739" spans="6:6" ht="12.75">
      <c r="F739" s="8"/>
    </row>
    <row r="740" spans="6:6" ht="12.75">
      <c r="F740" s="8"/>
    </row>
    <row r="741" spans="6:6" ht="12.75">
      <c r="F741" s="8"/>
    </row>
    <row r="742" spans="6:6" ht="12.75">
      <c r="F742" s="8"/>
    </row>
    <row r="743" spans="6:6" ht="12.75">
      <c r="F743" s="8"/>
    </row>
    <row r="744" spans="6:6" ht="12.75">
      <c r="F744" s="8"/>
    </row>
    <row r="745" spans="6:6" ht="12.75">
      <c r="F745" s="8"/>
    </row>
    <row r="746" spans="6:6" ht="12.75">
      <c r="F746" s="8"/>
    </row>
    <row r="747" spans="6:6" ht="12.75">
      <c r="F747" s="8"/>
    </row>
    <row r="748" spans="6:6" ht="12.75">
      <c r="F748" s="8"/>
    </row>
    <row r="749" spans="6:6" ht="12.75">
      <c r="F749" s="8"/>
    </row>
    <row r="750" spans="6:6" ht="12.75">
      <c r="F750" s="8"/>
    </row>
    <row r="751" spans="6:6" ht="12.75">
      <c r="F751" s="8"/>
    </row>
    <row r="752" spans="6:6" ht="12.75">
      <c r="F752" s="8"/>
    </row>
    <row r="753" spans="6:6" ht="12.75">
      <c r="F753" s="8"/>
    </row>
    <row r="754" spans="6:6" ht="12.75">
      <c r="F754" s="8"/>
    </row>
    <row r="755" spans="6:6" ht="12.75">
      <c r="F755" s="8"/>
    </row>
    <row r="756" spans="6:6" ht="12.75">
      <c r="F756" s="8"/>
    </row>
    <row r="757" spans="6:6" ht="12.75">
      <c r="F757" s="8"/>
    </row>
    <row r="758" spans="6:6" ht="12.75">
      <c r="F758" s="8"/>
    </row>
    <row r="759" spans="6:6" ht="12.75">
      <c r="F759" s="8"/>
    </row>
    <row r="760" spans="6:6" ht="12.75">
      <c r="F760" s="8"/>
    </row>
    <row r="761" spans="6:6" ht="12.75">
      <c r="F761" s="8"/>
    </row>
    <row r="762" spans="6:6" ht="12.75">
      <c r="F762" s="8"/>
    </row>
    <row r="763" spans="6:6" ht="12.75">
      <c r="F763" s="8"/>
    </row>
    <row r="764" spans="6:6" ht="12.75">
      <c r="F764" s="8"/>
    </row>
    <row r="765" spans="6:6" ht="12.75">
      <c r="F765" s="8"/>
    </row>
    <row r="766" spans="6:6" ht="12.75">
      <c r="F766" s="8"/>
    </row>
    <row r="767" spans="6:6" ht="12.75">
      <c r="F767" s="8"/>
    </row>
    <row r="768" spans="6:6" ht="12.75">
      <c r="F768" s="8"/>
    </row>
    <row r="769" spans="6:6" ht="12.75">
      <c r="F769" s="8"/>
    </row>
    <row r="770" spans="6:6" ht="12.75">
      <c r="F770" s="8"/>
    </row>
    <row r="771" spans="6:6" ht="12.75">
      <c r="F771" s="8"/>
    </row>
    <row r="772" spans="6:6" ht="12.75">
      <c r="F772" s="8"/>
    </row>
    <row r="773" spans="6:6" ht="12.75">
      <c r="F773" s="8"/>
    </row>
    <row r="774" spans="6:6" ht="12.75">
      <c r="F774" s="8"/>
    </row>
    <row r="775" spans="6:6" ht="12.75">
      <c r="F775" s="8"/>
    </row>
    <row r="776" spans="6:6" ht="12.75">
      <c r="F776" s="8"/>
    </row>
    <row r="777" spans="6:6" ht="12.75">
      <c r="F777" s="8"/>
    </row>
    <row r="778" spans="6:6" ht="12.75">
      <c r="F778" s="8"/>
    </row>
    <row r="779" spans="6:6" ht="12.75">
      <c r="F779" s="8"/>
    </row>
    <row r="780" spans="6:6" ht="12.75">
      <c r="F780" s="8"/>
    </row>
    <row r="781" spans="6:6" ht="12.75">
      <c r="F781" s="8"/>
    </row>
    <row r="782" spans="6:6" ht="12.75">
      <c r="F782" s="8"/>
    </row>
    <row r="783" spans="6:6" ht="12.75">
      <c r="F783" s="8"/>
    </row>
    <row r="784" spans="6:6" ht="12.75">
      <c r="F784" s="8"/>
    </row>
    <row r="785" spans="6:6" ht="12.75">
      <c r="F785" s="8"/>
    </row>
    <row r="786" spans="6:6" ht="12.75">
      <c r="F786" s="8"/>
    </row>
    <row r="787" spans="6:6" ht="12.75">
      <c r="F787" s="8"/>
    </row>
    <row r="788" spans="6:6" ht="12.75">
      <c r="F788" s="8"/>
    </row>
    <row r="789" spans="6:6" ht="12.75">
      <c r="F789" s="8"/>
    </row>
    <row r="790" spans="6:6" ht="12.75">
      <c r="F790" s="8"/>
    </row>
    <row r="791" spans="6:6" ht="12.75">
      <c r="F791" s="8"/>
    </row>
    <row r="792" spans="6:6" ht="12.75">
      <c r="F792" s="8"/>
    </row>
    <row r="793" spans="6:6" ht="12.75">
      <c r="F793" s="8"/>
    </row>
    <row r="794" spans="6:6" ht="12.75">
      <c r="F794" s="8"/>
    </row>
    <row r="795" spans="6:6" ht="12.75">
      <c r="F795" s="8"/>
    </row>
    <row r="796" spans="6:6" ht="12.75">
      <c r="F796" s="8"/>
    </row>
    <row r="797" spans="6:6" ht="12.75">
      <c r="F797" s="8"/>
    </row>
    <row r="798" spans="6:6" ht="12.75">
      <c r="F798" s="8"/>
    </row>
    <row r="799" spans="6:6" ht="12.75">
      <c r="F799" s="8"/>
    </row>
    <row r="800" spans="6:6" ht="12.75">
      <c r="F800" s="8"/>
    </row>
    <row r="801" spans="6:6" ht="12.75">
      <c r="F801" s="8"/>
    </row>
    <row r="802" spans="6:6" ht="12.75">
      <c r="F802" s="8"/>
    </row>
    <row r="803" spans="6:6" ht="12.75">
      <c r="F803" s="8"/>
    </row>
    <row r="804" spans="6:6" ht="12.75">
      <c r="F804" s="8"/>
    </row>
    <row r="805" spans="6:6" ht="12.75">
      <c r="F805" s="8"/>
    </row>
    <row r="806" spans="6:6" ht="12.75">
      <c r="F806" s="8"/>
    </row>
    <row r="807" spans="6:6" ht="12.75">
      <c r="F807" s="8"/>
    </row>
    <row r="808" spans="6:6" ht="12.75">
      <c r="F808" s="8"/>
    </row>
    <row r="809" spans="6:6" ht="12.75">
      <c r="F809" s="8"/>
    </row>
    <row r="810" spans="6:6" ht="12.75">
      <c r="F810" s="8"/>
    </row>
    <row r="811" spans="6:6" ht="12.75">
      <c r="F811" s="8"/>
    </row>
    <row r="812" spans="6:6" ht="12.75">
      <c r="F812" s="8"/>
    </row>
    <row r="813" spans="6:6" ht="12.75">
      <c r="F813" s="8"/>
    </row>
    <row r="814" spans="6:6" ht="12.75">
      <c r="F814" s="8"/>
    </row>
    <row r="815" spans="6:6" ht="12.75">
      <c r="F815" s="8"/>
    </row>
    <row r="816" spans="6:6" ht="12.75">
      <c r="F816" s="8"/>
    </row>
    <row r="817" spans="6:6" ht="12.75">
      <c r="F817" s="8"/>
    </row>
    <row r="818" spans="6:6" ht="12.75">
      <c r="F818" s="8"/>
    </row>
    <row r="819" spans="6:6" ht="12.75">
      <c r="F819" s="8"/>
    </row>
    <row r="820" spans="6:6" ht="12.75">
      <c r="F820" s="8"/>
    </row>
    <row r="821" spans="6:6" ht="12.75">
      <c r="F821" s="8"/>
    </row>
    <row r="822" spans="6:6" ht="12.75">
      <c r="F822" s="8"/>
    </row>
    <row r="823" spans="6:6" ht="12.75">
      <c r="F823" s="8"/>
    </row>
    <row r="824" spans="6:6" ht="12.75">
      <c r="F824" s="8"/>
    </row>
    <row r="825" spans="6:6" ht="12.75">
      <c r="F825" s="8"/>
    </row>
    <row r="826" spans="6:6" ht="12.75">
      <c r="F826" s="8"/>
    </row>
    <row r="827" spans="6:6" ht="12.75">
      <c r="F827" s="8"/>
    </row>
    <row r="828" spans="6:6" ht="12.75">
      <c r="F828" s="8"/>
    </row>
    <row r="829" spans="6:6" ht="12.75">
      <c r="F829" s="8"/>
    </row>
    <row r="830" spans="6:6" ht="12.75">
      <c r="F830" s="8"/>
    </row>
    <row r="831" spans="6:6" ht="12.75">
      <c r="F831" s="8"/>
    </row>
    <row r="832" spans="6:6" ht="12.75">
      <c r="F832" s="8"/>
    </row>
    <row r="833" spans="6:6" ht="12.75">
      <c r="F833" s="8"/>
    </row>
    <row r="834" spans="6:6" ht="12.75">
      <c r="F834" s="8"/>
    </row>
    <row r="835" spans="6:6" ht="12.75">
      <c r="F835" s="8"/>
    </row>
    <row r="836" spans="6:6" ht="12.75">
      <c r="F836" s="8"/>
    </row>
    <row r="837" spans="6:6" ht="12.75">
      <c r="F837" s="8"/>
    </row>
    <row r="838" spans="6:6" ht="12.75">
      <c r="F838" s="8"/>
    </row>
    <row r="839" spans="6:6" ht="12.75">
      <c r="F839" s="8"/>
    </row>
    <row r="840" spans="6:6" ht="12.75">
      <c r="F840" s="8"/>
    </row>
    <row r="841" spans="6:6" ht="12.75">
      <c r="F841" s="8"/>
    </row>
    <row r="842" spans="6:6" ht="12.75">
      <c r="F842" s="8"/>
    </row>
    <row r="843" spans="6:6" ht="12.75">
      <c r="F843" s="8"/>
    </row>
    <row r="844" spans="6:6" ht="12.75">
      <c r="F844" s="8"/>
    </row>
    <row r="845" spans="6:6" ht="12.75">
      <c r="F845" s="8"/>
    </row>
    <row r="846" spans="6:6" ht="12.75">
      <c r="F846" s="8"/>
    </row>
    <row r="847" spans="6:6" ht="12.75">
      <c r="F847" s="8"/>
    </row>
    <row r="848" spans="6:6" ht="12.75">
      <c r="F848" s="8"/>
    </row>
    <row r="849" spans="6:6" ht="12.75">
      <c r="F849" s="8"/>
    </row>
    <row r="850" spans="6:6" ht="12.75">
      <c r="F850" s="8"/>
    </row>
    <row r="851" spans="6:6" ht="12.75">
      <c r="F851" s="8"/>
    </row>
    <row r="852" spans="6:6" ht="12.75">
      <c r="F852" s="8"/>
    </row>
    <row r="853" spans="6:6" ht="12.75">
      <c r="F853" s="8"/>
    </row>
    <row r="854" spans="6:6" ht="12.75">
      <c r="F854" s="8"/>
    </row>
    <row r="855" spans="6:6" ht="12.75">
      <c r="F855" s="8"/>
    </row>
    <row r="856" spans="6:6" ht="12.75">
      <c r="F856" s="8"/>
    </row>
    <row r="857" spans="6:6" ht="12.75">
      <c r="F857" s="8"/>
    </row>
    <row r="858" spans="6:6" ht="12.75">
      <c r="F858" s="8"/>
    </row>
    <row r="859" spans="6:6" ht="12.75">
      <c r="F859" s="8"/>
    </row>
    <row r="860" spans="6:6" ht="12.75">
      <c r="F860" s="8"/>
    </row>
    <row r="861" spans="6:6" ht="12.75">
      <c r="F861" s="8"/>
    </row>
    <row r="862" spans="6:6" ht="12.75">
      <c r="F862" s="8"/>
    </row>
    <row r="863" spans="6:6" ht="12.75">
      <c r="F863" s="8"/>
    </row>
    <row r="864" spans="6:6" ht="12.75">
      <c r="F864" s="8"/>
    </row>
    <row r="865" spans="6:6" ht="12.75">
      <c r="F865" s="8"/>
    </row>
    <row r="866" spans="6:6" ht="12.75">
      <c r="F866" s="8"/>
    </row>
    <row r="867" spans="6:6" ht="12.75">
      <c r="F867" s="8"/>
    </row>
    <row r="868" spans="6:6" ht="12.75">
      <c r="F868" s="8"/>
    </row>
    <row r="869" spans="6:6" ht="12.75">
      <c r="F869" s="8"/>
    </row>
    <row r="870" spans="6:6" ht="12.75">
      <c r="F870" s="8"/>
    </row>
    <row r="871" spans="6:6" ht="12.75">
      <c r="F871" s="8"/>
    </row>
    <row r="872" spans="6:6" ht="12.75">
      <c r="F872" s="8"/>
    </row>
    <row r="873" spans="6:6" ht="12.75">
      <c r="F873" s="8"/>
    </row>
    <row r="874" spans="6:6" ht="12.75">
      <c r="F874" s="8"/>
    </row>
    <row r="875" spans="6:6" ht="12.75">
      <c r="F875" s="8"/>
    </row>
    <row r="876" spans="6:6" ht="12.75">
      <c r="F876" s="8"/>
    </row>
    <row r="877" spans="6:6" ht="12.75">
      <c r="F877" s="8"/>
    </row>
    <row r="878" spans="6:6" ht="12.75">
      <c r="F878" s="8"/>
    </row>
    <row r="879" spans="6:6" ht="12.75">
      <c r="F879" s="8"/>
    </row>
    <row r="880" spans="6:6" ht="12.75">
      <c r="F880" s="8"/>
    </row>
    <row r="881" spans="6:6" ht="12.75">
      <c r="F881" s="8"/>
    </row>
    <row r="882" spans="6:6" ht="12.75">
      <c r="F882" s="8"/>
    </row>
    <row r="883" spans="6:6" ht="12.75">
      <c r="F883" s="8"/>
    </row>
    <row r="884" spans="6:6" ht="12.75">
      <c r="F884" s="8"/>
    </row>
    <row r="885" spans="6:6" ht="12.75">
      <c r="F885" s="8"/>
    </row>
    <row r="886" spans="6:6" ht="12.75">
      <c r="F886" s="8"/>
    </row>
    <row r="887" spans="6:6" ht="12.75">
      <c r="F887" s="8"/>
    </row>
    <row r="888" spans="6:6" ht="12.75">
      <c r="F888" s="8"/>
    </row>
    <row r="889" spans="6:6" ht="12.75">
      <c r="F889" s="8"/>
    </row>
    <row r="890" spans="6:6" ht="12.75">
      <c r="F890" s="8"/>
    </row>
    <row r="891" spans="6:6" ht="12.75">
      <c r="F891" s="8"/>
    </row>
    <row r="892" spans="6:6" ht="12.75">
      <c r="F892" s="8"/>
    </row>
    <row r="893" spans="6:6" ht="12.75">
      <c r="F893" s="8"/>
    </row>
    <row r="894" spans="6:6" ht="12.75">
      <c r="F894" s="8"/>
    </row>
    <row r="895" spans="6:6" ht="12.75">
      <c r="F895" s="8"/>
    </row>
    <row r="896" spans="6:6" ht="12.75">
      <c r="F896" s="8"/>
    </row>
    <row r="897" spans="6:6" ht="12.75">
      <c r="F897" s="8"/>
    </row>
    <row r="898" spans="6:6" ht="12.75">
      <c r="F898" s="8"/>
    </row>
    <row r="899" spans="6:6" ht="12.75">
      <c r="F899" s="8"/>
    </row>
    <row r="900" spans="6:6" ht="12.75">
      <c r="F900" s="8"/>
    </row>
    <row r="901" spans="6:6" ht="12.75">
      <c r="F901" s="8"/>
    </row>
    <row r="902" spans="6:6" ht="12.75">
      <c r="F902" s="8"/>
    </row>
    <row r="903" spans="6:6" ht="12.75">
      <c r="F903" s="8"/>
    </row>
    <row r="904" spans="6:6" ht="12.75">
      <c r="F904" s="8"/>
    </row>
    <row r="905" spans="6:6" ht="12.75">
      <c r="F905" s="8"/>
    </row>
    <row r="906" spans="6:6" ht="12.75">
      <c r="F906" s="8"/>
    </row>
    <row r="907" spans="6:6" ht="12.75">
      <c r="F907" s="8"/>
    </row>
    <row r="908" spans="6:6" ht="12.75">
      <c r="F908" s="8"/>
    </row>
    <row r="909" spans="6:6" ht="12.75">
      <c r="F909" s="8"/>
    </row>
    <row r="910" spans="6:6" ht="12.75">
      <c r="F910" s="8"/>
    </row>
    <row r="911" spans="6:6" ht="12.75">
      <c r="F911" s="8"/>
    </row>
    <row r="912" spans="6:6" ht="12.75">
      <c r="F912" s="8"/>
    </row>
    <row r="913" spans="6:6" ht="12.75">
      <c r="F913" s="8"/>
    </row>
    <row r="914" spans="6:6" ht="12.75">
      <c r="F914" s="8"/>
    </row>
    <row r="915" spans="6:6" ht="12.75">
      <c r="F915" s="8"/>
    </row>
    <row r="916" spans="6:6" ht="12.75">
      <c r="F916" s="8"/>
    </row>
    <row r="917" spans="6:6" ht="12.75">
      <c r="F917" s="8"/>
    </row>
    <row r="918" spans="6:6" ht="12.75">
      <c r="F918" s="8"/>
    </row>
    <row r="919" spans="6:6" ht="12.75">
      <c r="F919" s="8"/>
    </row>
    <row r="920" spans="6:6" ht="12.75">
      <c r="F920" s="8"/>
    </row>
    <row r="921" spans="6:6" ht="12.75">
      <c r="F921" s="8"/>
    </row>
    <row r="922" spans="6:6" ht="12.75">
      <c r="F922" s="8"/>
    </row>
    <row r="923" spans="6:6" ht="12.75">
      <c r="F923" s="8"/>
    </row>
    <row r="924" spans="6:6" ht="12.75">
      <c r="F924" s="8"/>
    </row>
    <row r="925" spans="6:6" ht="12.75">
      <c r="F925" s="8"/>
    </row>
    <row r="926" spans="6:6" ht="12.75">
      <c r="F926" s="8"/>
    </row>
    <row r="927" spans="6:6" ht="12.75">
      <c r="F927" s="8"/>
    </row>
    <row r="928" spans="6:6" ht="12.75">
      <c r="F928" s="8"/>
    </row>
    <row r="929" spans="6:6" ht="12.75">
      <c r="F929" s="8"/>
    </row>
    <row r="930" spans="6:6" ht="12.75">
      <c r="F930" s="8"/>
    </row>
    <row r="931" spans="6:6" ht="12.75">
      <c r="F931" s="8"/>
    </row>
    <row r="932" spans="6:6" ht="12.75">
      <c r="F932" s="8"/>
    </row>
    <row r="933" spans="6:6" ht="12.75">
      <c r="F933" s="8"/>
    </row>
    <row r="934" spans="6:6" ht="12.75">
      <c r="F934" s="8"/>
    </row>
    <row r="935" spans="6:6" ht="12.75">
      <c r="F935" s="8"/>
    </row>
    <row r="936" spans="6:6" ht="12.75">
      <c r="F936" s="8"/>
    </row>
    <row r="937" spans="6:6" ht="12.75">
      <c r="F937" s="8"/>
    </row>
    <row r="938" spans="6:6" ht="12.75">
      <c r="F938" s="8"/>
    </row>
    <row r="939" spans="6:6" ht="12.75">
      <c r="F939" s="8"/>
    </row>
    <row r="940" spans="6:6" ht="12.75">
      <c r="F940" s="8"/>
    </row>
    <row r="941" spans="6:6" ht="12.75">
      <c r="F941" s="8"/>
    </row>
    <row r="942" spans="6:6" ht="12.75">
      <c r="F942" s="8"/>
    </row>
    <row r="943" spans="6:6" ht="12.75">
      <c r="F943" s="8"/>
    </row>
    <row r="944" spans="6:6" ht="12.75">
      <c r="F944" s="8"/>
    </row>
    <row r="945" spans="6:6" ht="12.75">
      <c r="F945" s="8"/>
    </row>
    <row r="946" spans="6:6" ht="12.75">
      <c r="F946" s="8"/>
    </row>
    <row r="947" spans="6:6" ht="12.75">
      <c r="F947" s="8"/>
    </row>
    <row r="948" spans="6:6" ht="12.75">
      <c r="F948" s="8"/>
    </row>
    <row r="949" spans="6:6" ht="12.75">
      <c r="F949" s="8"/>
    </row>
    <row r="950" spans="6:6" ht="12.75">
      <c r="F950" s="8"/>
    </row>
    <row r="951" spans="6:6" ht="12.75">
      <c r="F951" s="8"/>
    </row>
    <row r="952" spans="6:6" ht="12.75">
      <c r="F952" s="8"/>
    </row>
    <row r="953" spans="6:6" ht="12.75">
      <c r="F953" s="8"/>
    </row>
    <row r="954" spans="6:6" ht="12.75">
      <c r="F954" s="8"/>
    </row>
    <row r="955" spans="6:6" ht="12.75">
      <c r="F955" s="8"/>
    </row>
    <row r="956" spans="6:6" ht="12.75">
      <c r="F956" s="8"/>
    </row>
    <row r="957" spans="6:6" ht="12.75">
      <c r="F957" s="8"/>
    </row>
    <row r="958" spans="6:6" ht="12.75">
      <c r="F958" s="8"/>
    </row>
    <row r="959" spans="6:6" ht="12.75">
      <c r="F959" s="8"/>
    </row>
    <row r="960" spans="6:6" ht="12.75">
      <c r="F960" s="8"/>
    </row>
    <row r="961" spans="6:6" ht="12.75">
      <c r="F961" s="8"/>
    </row>
    <row r="962" spans="6:6" ht="12.75">
      <c r="F962" s="8"/>
    </row>
    <row r="963" spans="6:6" ht="12.75">
      <c r="F963" s="8"/>
    </row>
    <row r="964" spans="6:6" ht="12.75">
      <c r="F964" s="8"/>
    </row>
    <row r="965" spans="6:6" ht="12.75">
      <c r="F965" s="8"/>
    </row>
    <row r="966" spans="6:6" ht="12.75">
      <c r="F966" s="8"/>
    </row>
    <row r="967" spans="6:6" ht="12.75">
      <c r="F967" s="8"/>
    </row>
    <row r="968" spans="6:6" ht="12.75">
      <c r="F968" s="8"/>
    </row>
    <row r="969" spans="6:6" ht="12.75">
      <c r="F969" s="8"/>
    </row>
    <row r="970" spans="6:6" ht="12.75">
      <c r="F970" s="8"/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AX65"/>
  <sheetViews>
    <sheetView workbookViewId="0">
      <pane ySplit="3" topLeftCell="A4" activePane="bottomLeft" state="frozen"/>
      <selection pane="bottomLeft" activeCell="G22" sqref="G22"/>
    </sheetView>
  </sheetViews>
  <sheetFormatPr defaultColWidth="12.7109375" defaultRowHeight="15.75" customHeight="1"/>
  <cols>
    <col min="1" max="2" width="24.7109375" customWidth="1"/>
  </cols>
  <sheetData>
    <row r="1" spans="1:50" ht="15.75" customHeight="1">
      <c r="A1" s="3" t="e">
        <f>#VALUE!</f>
        <v>#VALUE!</v>
      </c>
      <c r="B1" s="4" t="str">
        <f ca="1">IFERROR(__xludf.DUMMYFUNCTION("""COMPUTED_VALUE"""),"2024-09-06 11:45:00.441380064 +0000 UTC")</f>
        <v>2024-09-06 11:45:00.441380064 +0000 UTC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50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50" ht="15.75" customHeight="1">
      <c r="A3" s="5" t="str">
        <f ca="1">IFERROR(__xludf.DUMMYFUNCTION("""COMPUTED_VALUE"""),"Name")</f>
        <v>Name</v>
      </c>
      <c r="B3" s="5"/>
      <c r="C3" s="5"/>
      <c r="D3" s="5"/>
      <c r="E3" s="5"/>
      <c r="F3" s="5"/>
      <c r="G3" s="5"/>
      <c r="H3" s="5" t="str">
        <f ca="1">IFERROR(__xludf.DUMMYFUNCTION("""COMPUTED_VALUE"""),"35 / Unisex")</f>
        <v>35 / Unisex</v>
      </c>
      <c r="I3" s="5" t="str">
        <f ca="1">IFERROR(__xludf.DUMMYFUNCTION("""COMPUTED_VALUE"""),"36 / Unisex")</f>
        <v>36 / Unisex</v>
      </c>
      <c r="J3" s="5" t="str">
        <f ca="1">IFERROR(__xludf.DUMMYFUNCTION("""COMPUTED_VALUE"""),"37 / Unisex")</f>
        <v>37 / Unisex</v>
      </c>
      <c r="K3" s="5" t="str">
        <f ca="1">IFERROR(__xludf.DUMMYFUNCTION("""COMPUTED_VALUE"""),"38 / Unisex")</f>
        <v>38 / Unisex</v>
      </c>
      <c r="L3" s="5" t="str">
        <f ca="1">IFERROR(__xludf.DUMMYFUNCTION("""COMPUTED_VALUE"""),"39 / Unisex")</f>
        <v>39 / Unisex</v>
      </c>
      <c r="M3" s="5" t="str">
        <f ca="1">IFERROR(__xludf.DUMMYFUNCTION("""COMPUTED_VALUE"""),"40 / Unisex")</f>
        <v>40 / Unisex</v>
      </c>
      <c r="N3" s="5" t="str">
        <f ca="1">IFERROR(__xludf.DUMMYFUNCTION("""COMPUTED_VALUE"""),"41 / Unisex")</f>
        <v>41 / Unisex</v>
      </c>
      <c r="O3" s="5" t="str">
        <f ca="1">IFERROR(__xludf.DUMMYFUNCTION("""COMPUTED_VALUE"""),"42 / Unisex")</f>
        <v>42 / Unisex</v>
      </c>
      <c r="P3" s="5" t="str">
        <f ca="1">IFERROR(__xludf.DUMMYFUNCTION("""COMPUTED_VALUE"""),"43 / Unisex")</f>
        <v>43 / Unisex</v>
      </c>
      <c r="Q3" s="5" t="str">
        <f ca="1">IFERROR(__xludf.DUMMYFUNCTION("""COMPUTED_VALUE"""),"44 / Unisex")</f>
        <v>44 / Unisex</v>
      </c>
      <c r="R3" s="5" t="str">
        <f ca="1">IFERROR(__xludf.DUMMYFUNCTION("""COMPUTED_VALUE"""),"45 / Unisex")</f>
        <v>45 / Unisex</v>
      </c>
      <c r="S3" s="5" t="str">
        <f ca="1">IFERROR(__xludf.DUMMYFUNCTION("""COMPUTED_VALUE"""),"46 / Unisex")</f>
        <v>46 / Unisex</v>
      </c>
      <c r="T3" s="5" t="str">
        <f ca="1">IFERROR(__xludf.DUMMYFUNCTION("""COMPUTED_VALUE"""),"35 / Damen")</f>
        <v>35 / Damen</v>
      </c>
      <c r="U3" s="5" t="str">
        <f ca="1">IFERROR(__xludf.DUMMYFUNCTION("""COMPUTED_VALUE"""),"36 / Damen")</f>
        <v>36 / Damen</v>
      </c>
      <c r="V3" s="5" t="str">
        <f ca="1">IFERROR(__xludf.DUMMYFUNCTION("""COMPUTED_VALUE"""),"37 / Damen")</f>
        <v>37 / Damen</v>
      </c>
      <c r="W3" s="5" t="str">
        <f ca="1">IFERROR(__xludf.DUMMYFUNCTION("""COMPUTED_VALUE"""),"38 / Damen")</f>
        <v>38 / Damen</v>
      </c>
      <c r="X3" s="5" t="str">
        <f ca="1">IFERROR(__xludf.DUMMYFUNCTION("""COMPUTED_VALUE"""),"39 / Damen")</f>
        <v>39 / Damen</v>
      </c>
      <c r="Y3" s="5" t="str">
        <f ca="1">IFERROR(__xludf.DUMMYFUNCTION("""COMPUTED_VALUE"""),"40 / Damen")</f>
        <v>40 / Damen</v>
      </c>
      <c r="Z3" s="5" t="str">
        <f ca="1">IFERROR(__xludf.DUMMYFUNCTION("""COMPUTED_VALUE"""),"41 / Damen")</f>
        <v>41 / Damen</v>
      </c>
      <c r="AA3" s="5" t="str">
        <f ca="1">IFERROR(__xludf.DUMMYFUNCTION("""COMPUTED_VALUE"""),"42 / Damen")</f>
        <v>42 / Damen</v>
      </c>
      <c r="AB3" s="5" t="str">
        <f ca="1">IFERROR(__xludf.DUMMYFUNCTION("""COMPUTED_VALUE"""),"Unisex / 36")</f>
        <v>Unisex / 36</v>
      </c>
      <c r="AC3" s="5" t="str">
        <f ca="1">IFERROR(__xludf.DUMMYFUNCTION("""COMPUTED_VALUE"""),"Unisex / 37")</f>
        <v>Unisex / 37</v>
      </c>
      <c r="AD3" s="5" t="str">
        <f ca="1">IFERROR(__xludf.DUMMYFUNCTION("""COMPUTED_VALUE"""),"Unisex / 38")</f>
        <v>Unisex / 38</v>
      </c>
      <c r="AE3" s="5" t="str">
        <f ca="1">IFERROR(__xludf.DUMMYFUNCTION("""COMPUTED_VALUE"""),"Unisex / 39")</f>
        <v>Unisex / 39</v>
      </c>
      <c r="AF3" s="5" t="str">
        <f ca="1">IFERROR(__xludf.DUMMYFUNCTION("""COMPUTED_VALUE"""),"Unisex / 40")</f>
        <v>Unisex / 40</v>
      </c>
      <c r="AG3" s="5" t="str">
        <f ca="1">IFERROR(__xludf.DUMMYFUNCTION("""COMPUTED_VALUE"""),"Unisex / 41")</f>
        <v>Unisex / 41</v>
      </c>
      <c r="AH3" s="5" t="str">
        <f ca="1">IFERROR(__xludf.DUMMYFUNCTION("""COMPUTED_VALUE"""),"Unisex / 42")</f>
        <v>Unisex / 42</v>
      </c>
      <c r="AI3" s="5" t="str">
        <f ca="1">IFERROR(__xludf.DUMMYFUNCTION("""COMPUTED_VALUE"""),"Unisex / 43")</f>
        <v>Unisex / 43</v>
      </c>
      <c r="AJ3" s="5" t="str">
        <f ca="1">IFERROR(__xludf.DUMMYFUNCTION("""COMPUTED_VALUE"""),"Unisex / 44")</f>
        <v>Unisex / 44</v>
      </c>
      <c r="AK3" s="5" t="str">
        <f ca="1">IFERROR(__xludf.DUMMYFUNCTION("""COMPUTED_VALUE"""),"Unisex / 45")</f>
        <v>Unisex / 45</v>
      </c>
      <c r="AL3" s="5" t="str">
        <f ca="1">IFERROR(__xludf.DUMMYFUNCTION("""COMPUTED_VALUE"""),"Unisex / 46")</f>
        <v>Unisex / 46</v>
      </c>
      <c r="AM3" s="5" t="str">
        <f ca="1">IFERROR(__xludf.DUMMYFUNCTION("""COMPUTED_VALUE"""),"Unisex / 35")</f>
        <v>Unisex / 35</v>
      </c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ht="15.75" customHeight="1">
      <c r="A4" s="1" t="str">
        <f ca="1">IFERROR(__xludf.DUMMYFUNCTION("""COMPUTED_VALUE"""),"Name")</f>
        <v>Name</v>
      </c>
      <c r="B4" s="1" t="str">
        <f ca="1">IFERROR(__xludf.DUMMYFUNCTION("""COMPUTED_VALUE"""),"SKU")</f>
        <v>SKU</v>
      </c>
      <c r="C4" s="1" t="str">
        <f ca="1">IFERROR(__xludf.DUMMYFUNCTION("""COMPUTED_VALUE"""),"Image Url")</f>
        <v>Image Url</v>
      </c>
      <c r="D4" s="1" t="str">
        <f ca="1">IFERROR(__xludf.DUMMYFUNCTION("""COMPUTED_VALUE"""),"Name")</f>
        <v>Name</v>
      </c>
      <c r="E4" s="1" t="str">
        <f ca="1">IFERROR(__xludf.DUMMYFUNCTION("""COMPUTED_VALUE"""),"Total Available")</f>
        <v>Total Available</v>
      </c>
      <c r="F4" s="1" t="str">
        <f ca="1">IFERROR(__xludf.DUMMYFUNCTION("""COMPUTED_VALUE"""),"Price")</f>
        <v>Price</v>
      </c>
      <c r="G4" s="1" t="str">
        <f ca="1">IFERROR(__xludf.DUMMYFUNCTION("""COMPUTED_VALUE"""),"Compare At Price")</f>
        <v>Compare At Price</v>
      </c>
      <c r="H4" s="1" t="str">
        <f t="shared" ref="H4:AM4" ca="1" si="0">IFERROR(__xludf.DUMMYFUNCTION("""COMPUTED_VALUE"""),"Total Available")</f>
        <v>Total Available</v>
      </c>
      <c r="I4" s="1" t="str">
        <f t="shared" ca="1" si="0"/>
        <v>Total Available</v>
      </c>
      <c r="J4" s="1" t="str">
        <f t="shared" ca="1" si="0"/>
        <v>Total Available</v>
      </c>
      <c r="K4" s="1" t="str">
        <f t="shared" ca="1" si="0"/>
        <v>Total Available</v>
      </c>
      <c r="L4" s="1" t="str">
        <f t="shared" ca="1" si="0"/>
        <v>Total Available</v>
      </c>
      <c r="M4" s="1" t="str">
        <f t="shared" ca="1" si="0"/>
        <v>Total Available</v>
      </c>
      <c r="N4" s="1" t="str">
        <f t="shared" ca="1" si="0"/>
        <v>Total Available</v>
      </c>
      <c r="O4" s="1" t="str">
        <f t="shared" ca="1" si="0"/>
        <v>Total Available</v>
      </c>
      <c r="P4" s="1" t="str">
        <f t="shared" ca="1" si="0"/>
        <v>Total Available</v>
      </c>
      <c r="Q4" s="1" t="str">
        <f t="shared" ca="1" si="0"/>
        <v>Total Available</v>
      </c>
      <c r="R4" s="1" t="str">
        <f t="shared" ca="1" si="0"/>
        <v>Total Available</v>
      </c>
      <c r="S4" s="1" t="str">
        <f t="shared" ca="1" si="0"/>
        <v>Total Available</v>
      </c>
      <c r="T4" s="1" t="str">
        <f t="shared" ca="1" si="0"/>
        <v>Total Available</v>
      </c>
      <c r="U4" s="1" t="str">
        <f t="shared" ca="1" si="0"/>
        <v>Total Available</v>
      </c>
      <c r="V4" s="1" t="str">
        <f t="shared" ca="1" si="0"/>
        <v>Total Available</v>
      </c>
      <c r="W4" s="1" t="str">
        <f t="shared" ca="1" si="0"/>
        <v>Total Available</v>
      </c>
      <c r="X4" s="1" t="str">
        <f t="shared" ca="1" si="0"/>
        <v>Total Available</v>
      </c>
      <c r="Y4" s="1" t="str">
        <f t="shared" ca="1" si="0"/>
        <v>Total Available</v>
      </c>
      <c r="Z4" s="1" t="str">
        <f t="shared" ca="1" si="0"/>
        <v>Total Available</v>
      </c>
      <c r="AA4" s="1" t="str">
        <f t="shared" ca="1" si="0"/>
        <v>Total Available</v>
      </c>
      <c r="AB4" s="1" t="str">
        <f t="shared" ca="1" si="0"/>
        <v>Total Available</v>
      </c>
      <c r="AC4" s="1" t="str">
        <f t="shared" ca="1" si="0"/>
        <v>Total Available</v>
      </c>
      <c r="AD4" s="1" t="str">
        <f t="shared" ca="1" si="0"/>
        <v>Total Available</v>
      </c>
      <c r="AE4" s="1" t="str">
        <f t="shared" ca="1" si="0"/>
        <v>Total Available</v>
      </c>
      <c r="AF4" s="1" t="str">
        <f t="shared" ca="1" si="0"/>
        <v>Total Available</v>
      </c>
      <c r="AG4" s="1" t="str">
        <f t="shared" ca="1" si="0"/>
        <v>Total Available</v>
      </c>
      <c r="AH4" s="1" t="str">
        <f t="shared" ca="1" si="0"/>
        <v>Total Available</v>
      </c>
      <c r="AI4" s="1" t="str">
        <f t="shared" ca="1" si="0"/>
        <v>Total Available</v>
      </c>
      <c r="AJ4" s="1" t="str">
        <f t="shared" ca="1" si="0"/>
        <v>Total Available</v>
      </c>
      <c r="AK4" s="1" t="str">
        <f t="shared" ca="1" si="0"/>
        <v>Total Available</v>
      </c>
      <c r="AL4" s="1" t="str">
        <f t="shared" ca="1" si="0"/>
        <v>Total Available</v>
      </c>
      <c r="AM4" s="1" t="str">
        <f t="shared" ca="1" si="0"/>
        <v>Total Available</v>
      </c>
    </row>
    <row r="5" spans="1:50" ht="15.75" customHeight="1">
      <c r="A5" s="1" t="str">
        <f ca="1">IFERROR(__xludf.DUMMYFUNCTION("""COMPUTED_VALUE"""),"Water-Line Stealth Black")</f>
        <v>Water-Line Stealth Black</v>
      </c>
      <c r="B5" s="1">
        <f ca="1">IFERROR(__xludf.DUMMYFUNCTION("""COMPUTED_VALUE"""),320123)</f>
        <v>320123</v>
      </c>
      <c r="C5" s="2" t="str">
        <f ca="1">IFERROR(__xludf.DUMMYFUNCTION("""COMPUTED_VALUE"""),"https://cdn.shopify.com/s/files/1/0072/5431/0975/files/WaterLine_StealthBlack_01-jpeg2000px.jpg?v=1720016699")</f>
        <v>https://cdn.shopify.com/s/files/1/0072/5431/0975/files/WaterLine_StealthBlack_01-jpeg2000px.jpg?v=1720016699</v>
      </c>
      <c r="D5" s="1" t="str">
        <f t="shared" ref="D5:D36" ca="1" si="1">IFERROR(__xludf.DUMMYFUNCTION("""COMPUTED_VALUE"""),"Main Warehouse CH")</f>
        <v>Main Warehouse CH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50" ht="15.75" customHeight="1">
      <c r="A6" s="1" t="str">
        <f ca="1">IFERROR(__xludf.DUMMYFUNCTION("""COMPUTED_VALUE"""),"George Fire-Line White Sand")</f>
        <v>George Fire-Line White Sand</v>
      </c>
      <c r="B6" s="1">
        <f ca="1">IFERROR(__xludf.DUMMYFUNCTION("""COMPUTED_VALUE"""),330903)</f>
        <v>330903</v>
      </c>
      <c r="C6" s="2" t="str">
        <f ca="1">IFERROR(__xludf.DUMMYFUNCTION("""COMPUTED_VALUE"""),"https://cdn.shopify.com/s/files/1/0072/5431/0975/files/George_FireLine_WhiteSand_01_-_jpeg_2000px.jpg?v=1720688720")</f>
        <v>https://cdn.shopify.com/s/files/1/0072/5431/0975/files/George_FireLine_WhiteSand_01_-_jpeg_2000px.jpg?v=1720688720</v>
      </c>
      <c r="D6" s="1" t="str">
        <f t="shared" ca="1" si="1"/>
        <v>Main Warehouse CH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50" ht="15.75" customHeight="1">
      <c r="A7" s="1" t="str">
        <f ca="1">IFERROR(__xludf.DUMMYFUNCTION("""COMPUTED_VALUE"""),"Water-Line Navy Blue")</f>
        <v>Water-Line Navy Blue</v>
      </c>
      <c r="B7" s="1">
        <f ca="1">IFERROR(__xludf.DUMMYFUNCTION("""COMPUTED_VALUE"""),220124)</f>
        <v>220124</v>
      </c>
      <c r="C7" s="2" t="str">
        <f ca="1">IFERROR(__xludf.DUMMYFUNCTION("""COMPUTED_VALUE"""),"https://cdn.shopify.com/s/files/1/0072/5431/0975/files/WaterLine_NavyBlue_01-jpeg2000px.jpg?v=1720693585")</f>
        <v>https://cdn.shopify.com/s/files/1/0072/5431/0975/files/WaterLine_NavyBlue_01-jpeg2000px.jpg?v=1720693585</v>
      </c>
      <c r="D7" s="1" t="str">
        <f t="shared" ca="1" si="1"/>
        <v>Main Warehouse CH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50" ht="15.75" customHeight="1">
      <c r="A8" s="1" t="str">
        <f ca="1">IFERROR(__xludf.DUMMYFUNCTION("""COMPUTED_VALUE"""),"George Fire-Line Blue Night")</f>
        <v>George Fire-Line Blue Night</v>
      </c>
      <c r="B8" s="1">
        <f ca="1">IFERROR(__xludf.DUMMYFUNCTION("""COMPUTED_VALUE"""),330904)</f>
        <v>330904</v>
      </c>
      <c r="C8" s="2" t="str">
        <f ca="1">IFERROR(__xludf.DUMMYFUNCTION("""COMPUTED_VALUE"""),"https://cdn.shopify.com/s/files/1/0072/5431/0975/files/George_FireLine_BlueNight_01_-_jpeg_2000px.jpg?v=1720688782")</f>
        <v>https://cdn.shopify.com/s/files/1/0072/5431/0975/files/George_FireLine_BlueNight_01_-_jpeg_2000px.jpg?v=1720688782</v>
      </c>
      <c r="D8" s="1" t="str">
        <f t="shared" ca="1" si="1"/>
        <v>Main Warehouse CH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50" ht="15.75" customHeight="1">
      <c r="A9" s="1" t="str">
        <f ca="1">IFERROR(__xludf.DUMMYFUNCTION("""COMPUTED_VALUE"""),"George Ice White")</f>
        <v>George Ice White</v>
      </c>
      <c r="B9" s="1">
        <f ca="1">IFERROR(__xludf.DUMMYFUNCTION("""COMPUTED_VALUE"""),310911)</f>
        <v>310911</v>
      </c>
      <c r="C9" s="2" t="str">
        <f ca="1">IFERROR(__xludf.DUMMYFUNCTION("""COMPUTED_VALUE"""),"https://cdn.shopify.com/s/files/1/0072/5431/0975/files/George_IceWhite_01_-_jpeg_2000px_2.jpg?v=1720693257")</f>
        <v>https://cdn.shopify.com/s/files/1/0072/5431/0975/files/George_IceWhite_01_-_jpeg_2000px_2.jpg?v=1720693257</v>
      </c>
      <c r="D9" s="1" t="str">
        <f t="shared" ca="1" si="1"/>
        <v>Main Warehouse CH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50" ht="15.75" customHeight="1">
      <c r="A10" s="1" t="str">
        <f ca="1">IFERROR(__xludf.DUMMYFUNCTION("""COMPUTED_VALUE"""),"George Fire-line Desert Rose")</f>
        <v>George Fire-line Desert Rose</v>
      </c>
      <c r="B10" s="1">
        <f ca="1">IFERROR(__xludf.DUMMYFUNCTION("""COMPUTED_VALUE"""),330905)</f>
        <v>330905</v>
      </c>
      <c r="C10" s="2" t="str">
        <f ca="1">IFERROR(__xludf.DUMMYFUNCTION("""COMPUTED_VALUE"""),"https://cdn.shopify.com/s/files/1/0072/5431/0975/files/GFL4.png?v=1713288202")</f>
        <v>https://cdn.shopify.com/s/files/1/0072/5431/0975/files/GFL4.png?v=1713288202</v>
      </c>
      <c r="D10" s="1" t="str">
        <f t="shared" ca="1" si="1"/>
        <v>Main Warehouse CH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50" ht="15.75" customHeight="1">
      <c r="A11" s="1" t="str">
        <f ca="1">IFERROR(__xludf.DUMMYFUNCTION("""COMPUTED_VALUE"""),"George Blue Moon")</f>
        <v>George Blue Moon</v>
      </c>
      <c r="B11" s="1">
        <f ca="1">IFERROR(__xludf.DUMMYFUNCTION("""COMPUTED_VALUE"""),310912)</f>
        <v>310912</v>
      </c>
      <c r="C11" s="2" t="str">
        <f ca="1">IFERROR(__xludf.DUMMYFUNCTION("""COMPUTED_VALUE"""),"https://cdn.shopify.com/s/files/1/0072/5431/0975/files/George_BlueMoon_01_-_jpeg_2000px.jpg?v=1720688878")</f>
        <v>https://cdn.shopify.com/s/files/1/0072/5431/0975/files/George_BlueMoon_01_-_jpeg_2000px.jpg?v=1720688878</v>
      </c>
      <c r="D11" s="1" t="str">
        <f t="shared" ca="1" si="1"/>
        <v>Main Warehouse CH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50" ht="15.75" customHeight="1">
      <c r="A12" s="1" t="str">
        <f ca="1">IFERROR(__xludf.DUMMYFUNCTION("""COMPUTED_VALUE"""),"George Blazing Stracciatella")</f>
        <v>George Blazing Stracciatella</v>
      </c>
      <c r="B12" s="1">
        <f ca="1">IFERROR(__xludf.DUMMYFUNCTION("""COMPUTED_VALUE"""),310905)</f>
        <v>310905</v>
      </c>
      <c r="C12" s="2" t="str">
        <f ca="1">IFERROR(__xludf.DUMMYFUNCTION("""COMPUTED_VALUE"""),"https://cdn.shopify.com/s/files/1/0072/5431/0975/products/gnl00281-web.jpg?v=1713356055")</f>
        <v>https://cdn.shopify.com/s/files/1/0072/5431/0975/products/gnl00281-web.jpg?v=1713356055</v>
      </c>
      <c r="D12" s="1" t="str">
        <f t="shared" ca="1" si="1"/>
        <v>Main Warehouse CH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50" ht="15.75" customHeight="1">
      <c r="A13" s="1" t="str">
        <f ca="1">IFERROR(__xludf.DUMMYFUNCTION("""COMPUTED_VALUE"""),"LU1 Liquorice Black")</f>
        <v>LU1 Liquorice Black</v>
      </c>
      <c r="B13" s="1">
        <f ca="1">IFERROR(__xludf.DUMMYFUNCTION("""COMPUTED_VALUE"""),310202)</f>
        <v>310202</v>
      </c>
      <c r="C13" s="2" t="str">
        <f ca="1">IFERROR(__xludf.DUMMYFUNCTION("""COMPUTED_VALUE"""),"https://cdn.shopify.com/s/files/1/0072/5431/0975/files/LU1_LiquoriceBlack_01_-_jpeg_2000px.jpg?v=1720688538")</f>
        <v>https://cdn.shopify.com/s/files/1/0072/5431/0975/files/LU1_LiquoriceBlack_01_-_jpeg_2000px.jpg?v=1720688538</v>
      </c>
      <c r="D13" s="1" t="str">
        <f t="shared" ca="1" si="1"/>
        <v>Main Warehouse CH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50" ht="15.75" customHeight="1">
      <c r="A14" s="1" t="str">
        <f ca="1">IFERROR(__xludf.DUMMYFUNCTION("""COMPUTED_VALUE"""),"George Pink Lightning")</f>
        <v>George Pink Lightning</v>
      </c>
      <c r="B14" s="1">
        <f ca="1">IFERROR(__xludf.DUMMYFUNCTION("""COMPUTED_VALUE"""),110902)</f>
        <v>110902</v>
      </c>
      <c r="C14" s="2" t="str">
        <f ca="1">IFERROR(__xludf.DUMMYFUNCTION("""COMPUTED_VALUE"""),"https://cdn.shopify.com/s/files/1/0072/5431/0975/products/gnl00236-web.jpg?v=1694780874")</f>
        <v>https://cdn.shopify.com/s/files/1/0072/5431/0975/products/gnl00236-web.jpg?v=1694780874</v>
      </c>
      <c r="D14" s="1" t="str">
        <f t="shared" ca="1" si="1"/>
        <v>Main Warehouse CH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>
        <f ca="1">IFERROR(__xludf.DUMMYFUNCTION("""COMPUTED_VALUE"""),15)</f>
        <v>15</v>
      </c>
      <c r="V14" s="1">
        <f ca="1">IFERROR(__xludf.DUMMYFUNCTION("""COMPUTED_VALUE"""),31)</f>
        <v>31</v>
      </c>
      <c r="W14" s="1">
        <f ca="1">IFERROR(__xludf.DUMMYFUNCTION("""COMPUTED_VALUE"""),48)</f>
        <v>48</v>
      </c>
      <c r="X14" s="1">
        <f ca="1">IFERROR(__xludf.DUMMYFUNCTION("""COMPUTED_VALUE"""),46)</f>
        <v>46</v>
      </c>
      <c r="Y14" s="1">
        <f ca="1">IFERROR(__xludf.DUMMYFUNCTION("""COMPUTED_VALUE"""),58)</f>
        <v>58</v>
      </c>
      <c r="Z14" s="1">
        <f ca="1">IFERROR(__xludf.DUMMYFUNCTION("""COMPUTED_VALUE"""),25)</f>
        <v>25</v>
      </c>
      <c r="AA14" s="1">
        <f ca="1">IFERROR(__xludf.DUMMYFUNCTION("""COMPUTED_VALUE"""),3)</f>
        <v>3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50" ht="15.75" customHeight="1">
      <c r="A15" s="1" t="str">
        <f ca="1">IFERROR(__xludf.DUMMYFUNCTION("""COMPUTED_VALUE"""),"George Sandy Bordeaux")</f>
        <v>George Sandy Bordeaux</v>
      </c>
      <c r="B15" s="1">
        <f ca="1">IFERROR(__xludf.DUMMYFUNCTION("""COMPUTED_VALUE"""),310904)</f>
        <v>310904</v>
      </c>
      <c r="C15" s="2" t="str">
        <f ca="1">IFERROR(__xludf.DUMMYFUNCTION("""COMPUTED_VALUE"""),"https://cdn.shopify.com/s/files/1/0072/5431/0975/products/gnl00288-Edit-web.jpg?v=1694685816")</f>
        <v>https://cdn.shopify.com/s/files/1/0072/5431/0975/products/gnl00288-Edit-web.jpg?v=1694685816</v>
      </c>
      <c r="D15" s="1" t="str">
        <f t="shared" ca="1" si="1"/>
        <v>Main Warehouse CH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50" ht="15.75" customHeight="1">
      <c r="A16" s="1" t="str">
        <f ca="1">IFERROR(__xludf.DUMMYFUNCTION("""COMPUTED_VALUE"""),"LU1 Stracciatella")</f>
        <v>LU1 Stracciatella</v>
      </c>
      <c r="B16" s="1">
        <f ca="1">IFERROR(__xludf.DUMMYFUNCTION("""COMPUTED_VALUE"""),310201)</f>
        <v>310201</v>
      </c>
      <c r="C16" s="2" t="str">
        <f ca="1">IFERROR(__xludf.DUMMYFUNCTION("""COMPUTED_VALUE"""),"https://cdn.shopify.com/s/files/1/0072/5431/0975/products/GnL_FW17_05_3.jpg?v=1582316481")</f>
        <v>https://cdn.shopify.com/s/files/1/0072/5431/0975/products/GnL_FW17_05_3.jpg?v=1582316481</v>
      </c>
      <c r="D16" s="1" t="str">
        <f t="shared" ca="1" si="1"/>
        <v>Main Warehouse CH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.75" customHeight="1">
      <c r="A17" s="1" t="str">
        <f ca="1">IFERROR(__xludf.DUMMYFUNCTION("""COMPUTED_VALUE"""),"George Coastal Cabana")</f>
        <v>George Coastal Cabana</v>
      </c>
      <c r="B17" s="1">
        <f ca="1">IFERROR(__xludf.DUMMYFUNCTION("""COMPUTED_VALUE"""),110903)</f>
        <v>110903</v>
      </c>
      <c r="C17" s="2" t="str">
        <f ca="1">IFERROR(__xludf.DUMMYFUNCTION("""COMPUTED_VALUE"""),"https://cdn.shopify.com/s/files/1/0072/5431/0975/products/gnl00293-Edit-web.jpg?v=1694686485")</f>
        <v>https://cdn.shopify.com/s/files/1/0072/5431/0975/products/gnl00293-Edit-web.jpg?v=1694686485</v>
      </c>
      <c r="D17" s="1" t="str">
        <f t="shared" ca="1" si="1"/>
        <v>Main Warehouse CH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f ca="1">IFERROR(__xludf.DUMMYFUNCTION("""COMPUTED_VALUE"""),14)</f>
        <v>14</v>
      </c>
      <c r="V17" s="1">
        <f ca="1">IFERROR(__xludf.DUMMYFUNCTION("""COMPUTED_VALUE"""),34)</f>
        <v>34</v>
      </c>
      <c r="W17" s="1">
        <f ca="1">IFERROR(__xludf.DUMMYFUNCTION("""COMPUTED_VALUE"""),51)</f>
        <v>51</v>
      </c>
      <c r="X17" s="1">
        <f ca="1">IFERROR(__xludf.DUMMYFUNCTION("""COMPUTED_VALUE"""),52)</f>
        <v>52</v>
      </c>
      <c r="Y17" s="1">
        <f ca="1">IFERROR(__xludf.DUMMYFUNCTION("""COMPUTED_VALUE"""),44)</f>
        <v>44</v>
      </c>
      <c r="Z17" s="1">
        <f ca="1">IFERROR(__xludf.DUMMYFUNCTION("""COMPUTED_VALUE"""),14)</f>
        <v>14</v>
      </c>
      <c r="AA17" s="1">
        <f ca="1">IFERROR(__xludf.DUMMYFUNCTION("""COMPUTED_VALUE"""),0)</f>
        <v>0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.75" customHeight="1">
      <c r="A18" s="1" t="str">
        <f ca="1">IFERROR(__xludf.DUMMYFUNCTION("""COMPUTED_VALUE"""),"AU1 Soft Stone")</f>
        <v>AU1 Soft Stone</v>
      </c>
      <c r="B18" s="1">
        <f ca="1">IFERROR(__xludf.DUMMYFUNCTION("""COMPUTED_VALUE"""),310501)</f>
        <v>310501</v>
      </c>
      <c r="C18" s="2" t="str">
        <f ca="1">IFERROR(__xludf.DUMMYFUNCTION("""COMPUTED_VALUE"""),"https://cdn.shopify.com/s/files/1/0072/5431/0975/files/AU1_SoftStone_01-jpeg2000px.jpg?v=1720682784")</f>
        <v>https://cdn.shopify.com/s/files/1/0072/5431/0975/files/AU1_SoftStone_01-jpeg2000px.jpg?v=1720682784</v>
      </c>
      <c r="D18" s="1" t="str">
        <f t="shared" ca="1" si="1"/>
        <v>Main Warehouse CH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.75" customHeight="1">
      <c r="A19" s="1" t="str">
        <f ca="1">IFERROR(__xludf.DUMMYFUNCTION("""COMPUTED_VALUE"""),"George White Stracciatella")</f>
        <v>George White Stracciatella</v>
      </c>
      <c r="B19" s="1">
        <f ca="1">IFERROR(__xludf.DUMMYFUNCTION("""COMPUTED_VALUE"""),310903)</f>
        <v>310903</v>
      </c>
      <c r="C19" s="2" t="str">
        <f ca="1">IFERROR(__xludf.DUMMYFUNCTION("""COMPUTED_VALUE"""),"https://cdn.shopify.com/s/files/1/0072/5431/0975/products/gnl00298-Edit-Edit-web.jpg?v=1694685644")</f>
        <v>https://cdn.shopify.com/s/files/1/0072/5431/0975/products/gnl00298-Edit-Edit-web.jpg?v=1694685644</v>
      </c>
      <c r="D19" s="1" t="str">
        <f t="shared" ca="1" si="1"/>
        <v>Main Warehouse CH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5.75" customHeight="1">
      <c r="A20" s="1" t="str">
        <f ca="1">IFERROR(__xludf.DUMMYFUNCTION("""COMPUTED_VALUE"""),"George Fire-Line Stealth Black")</f>
        <v>George Fire-Line Stealth Black</v>
      </c>
      <c r="B20" s="1">
        <f ca="1">IFERROR(__xludf.DUMMYFUNCTION("""COMPUTED_VALUE"""),330902)</f>
        <v>330902</v>
      </c>
      <c r="C20" s="2" t="str">
        <f ca="1">IFERROR(__xludf.DUMMYFUNCTION("""COMPUTED_VALUE"""),"https://cdn.shopify.com/s/files/1/0072/5431/0975/files/GLFS2_d6aa5672-fcd3-4df6-930f-ff0c35073a98.png?v=1713268355")</f>
        <v>https://cdn.shopify.com/s/files/1/0072/5431/0975/files/GLFS2_d6aa5672-fcd3-4df6-930f-ff0c35073a98.png?v=1713268355</v>
      </c>
      <c r="D20" s="1" t="str">
        <f t="shared" ca="1" si="1"/>
        <v>Main Warehouse CH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.75" customHeight="1">
      <c r="A21" s="1" t="str">
        <f ca="1">IFERROR(__xludf.DUMMYFUNCTION("""COMPUTED_VALUE"""),"SU1 Tumble Grey")</f>
        <v>SU1 Tumble Grey</v>
      </c>
      <c r="B21" s="1">
        <f ca="1">IFERROR(__xludf.DUMMYFUNCTION("""COMPUTED_VALUE"""),310302)</f>
        <v>310302</v>
      </c>
      <c r="C21" s="2" t="str">
        <f ca="1">IFERROR(__xludf.DUMMYFUNCTION("""COMPUTED_VALUE"""),"https://cdn.shopify.com/s/files/1/0072/5431/0975/products/GnL_Dez20_3.jpg?v=1613557089")</f>
        <v>https://cdn.shopify.com/s/files/1/0072/5431/0975/products/GnL_Dez20_3.jpg?v=1613557089</v>
      </c>
      <c r="D21" s="1" t="str">
        <f t="shared" ca="1" si="1"/>
        <v>Main Warehouse CH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.75" customHeight="1">
      <c r="A22" s="1" t="str">
        <f ca="1">IFERROR(__xludf.DUMMYFUNCTION("""COMPUTED_VALUE"""),"George Deep Frost")</f>
        <v>George Deep Frost</v>
      </c>
      <c r="B22" s="1">
        <f ca="1">IFERROR(__xludf.DUMMYFUNCTION("""COMPUTED_VALUE"""),310913)</f>
        <v>310913</v>
      </c>
      <c r="C22" s="2" t="str">
        <f ca="1">IFERROR(__xludf.DUMMYFUNCTION("""COMPUTED_VALUE"""),"https://cdn.shopify.com/s/files/1/0072/5431/0975/files/George_DeepFrost_01-jpeg2000px.jpg?v=1722537189")</f>
        <v>https://cdn.shopify.com/s/files/1/0072/5431/0975/files/George_DeepFrost_01-jpeg2000px.jpg?v=1722537189</v>
      </c>
      <c r="D22" s="1" t="str">
        <f t="shared" ca="1" si="1"/>
        <v>Main Warehouse CH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>
        <f ca="1">IFERROR(__xludf.DUMMYFUNCTION("""COMPUTED_VALUE"""),7)</f>
        <v>7</v>
      </c>
      <c r="AC22" s="1">
        <f ca="1">IFERROR(__xludf.DUMMYFUNCTION("""COMPUTED_VALUE"""),17)</f>
        <v>17</v>
      </c>
      <c r="AD22" s="1">
        <f ca="1">IFERROR(__xludf.DUMMYFUNCTION("""COMPUTED_VALUE"""),25)</f>
        <v>25</v>
      </c>
      <c r="AE22" s="1">
        <f ca="1">IFERROR(__xludf.DUMMYFUNCTION("""COMPUTED_VALUE"""),32)</f>
        <v>32</v>
      </c>
      <c r="AF22" s="1">
        <f ca="1">IFERROR(__xludf.DUMMYFUNCTION("""COMPUTED_VALUE"""),24)</f>
        <v>24</v>
      </c>
      <c r="AG22" s="1">
        <f ca="1">IFERROR(__xludf.DUMMYFUNCTION("""COMPUTED_VALUE"""),16)</f>
        <v>16</v>
      </c>
      <c r="AH22" s="1">
        <f ca="1">IFERROR(__xludf.DUMMYFUNCTION("""COMPUTED_VALUE"""),16)</f>
        <v>16</v>
      </c>
      <c r="AI22" s="1">
        <f ca="1">IFERROR(__xludf.DUMMYFUNCTION("""COMPUTED_VALUE"""),25)</f>
        <v>25</v>
      </c>
      <c r="AJ22" s="1">
        <f ca="1">IFERROR(__xludf.DUMMYFUNCTION("""COMPUTED_VALUE"""),9)</f>
        <v>9</v>
      </c>
      <c r="AK22" s="1">
        <f ca="1">IFERROR(__xludf.DUMMYFUNCTION("""COMPUTED_VALUE"""),5)</f>
        <v>5</v>
      </c>
      <c r="AL22" s="1">
        <f ca="1">IFERROR(__xludf.DUMMYFUNCTION("""COMPUTED_VALUE"""),4)</f>
        <v>4</v>
      </c>
      <c r="AM22" s="1"/>
    </row>
    <row r="23" spans="1:39" ht="15.75" customHeight="1">
      <c r="A23" s="1" t="str">
        <f ca="1">IFERROR(__xludf.DUMMYFUNCTION("""COMPUTED_VALUE"""),"George F Fur Navy")</f>
        <v>George F Fur Navy</v>
      </c>
      <c r="B23" s="1">
        <f ca="1">IFERROR(__xludf.DUMMYFUNCTION("""COMPUTED_VALUE"""),110905)</f>
        <v>110905</v>
      </c>
      <c r="C23" s="2" t="str">
        <f ca="1">IFERROR(__xludf.DUMMYFUNCTION("""COMPUTED_VALUE"""),"https://cdn.shopify.com/s/files/1/0072/5431/0975/products/gnl00286-Edit-web.jpg?v=1694686500")</f>
        <v>https://cdn.shopify.com/s/files/1/0072/5431/0975/products/gnl00286-Edit-web.jpg?v=1694686500</v>
      </c>
      <c r="D23" s="1" t="str">
        <f t="shared" ca="1" si="1"/>
        <v>Main Warehouse CH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f ca="1">IFERROR(__xludf.DUMMYFUNCTION("""COMPUTED_VALUE"""),21)</f>
        <v>21</v>
      </c>
      <c r="V23" s="1">
        <f ca="1">IFERROR(__xludf.DUMMYFUNCTION("""COMPUTED_VALUE"""),19)</f>
        <v>19</v>
      </c>
      <c r="W23" s="1">
        <f ca="1">IFERROR(__xludf.DUMMYFUNCTION("""COMPUTED_VALUE"""),48)</f>
        <v>48</v>
      </c>
      <c r="X23" s="1">
        <f ca="1">IFERROR(__xludf.DUMMYFUNCTION("""COMPUTED_VALUE"""),45)</f>
        <v>45</v>
      </c>
      <c r="Y23" s="1">
        <f ca="1">IFERROR(__xludf.DUMMYFUNCTION("""COMPUTED_VALUE"""),32)</f>
        <v>32</v>
      </c>
      <c r="Z23" s="1">
        <f ca="1">IFERROR(__xludf.DUMMYFUNCTION("""COMPUTED_VALUE"""),5)</f>
        <v>5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.75" customHeight="1">
      <c r="A24" s="1" t="str">
        <f ca="1">IFERROR(__xludf.DUMMYFUNCTION("""COMPUTED_VALUE"""),"George Stick Up")</f>
        <v>George Stick Up</v>
      </c>
      <c r="B24" s="1">
        <f ca="1">IFERROR(__xludf.DUMMYFUNCTION("""COMPUTED_VALUE"""),310906)</f>
        <v>310906</v>
      </c>
      <c r="C24" s="2" t="str">
        <f ca="1">IFERROR(__xludf.DUMMYFUNCTION("""COMPUTED_VALUE"""),"https://cdn.shopify.com/s/files/1/0072/5431/0975/products/gnl00233-Edit-web.jpg?v=1694780888")</f>
        <v>https://cdn.shopify.com/s/files/1/0072/5431/0975/products/gnl00233-Edit-web.jpg?v=1694780888</v>
      </c>
      <c r="D24" s="1" t="str">
        <f t="shared" ca="1" si="1"/>
        <v>Main Warehouse CH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.75" customHeight="1">
      <c r="A25" s="1" t="str">
        <f ca="1">IFERROR(__xludf.DUMMYFUNCTION("""COMPUTED_VALUE"""),"SU1 Deep Sea")</f>
        <v>SU1 Deep Sea</v>
      </c>
      <c r="B25" s="1">
        <f ca="1">IFERROR(__xludf.DUMMYFUNCTION("""COMPUTED_VALUE"""),210301)</f>
        <v>210301</v>
      </c>
      <c r="C25" s="2" t="str">
        <f ca="1">IFERROR(__xludf.DUMMYFUNCTION("""COMPUTED_VALUE"""),"https://cdn.shopify.com/s/files/1/0072/5431/0975/files/SU1_DeepSea_01-jpeg2000px_0cd3a54d-dc1f-4562-bda1-237e60bedf33.jpg?v=1720694677")</f>
        <v>https://cdn.shopify.com/s/files/1/0072/5431/0975/files/SU1_DeepSea_01-jpeg2000px_0cd3a54d-dc1f-4562-bda1-237e60bedf33.jpg?v=1720694677</v>
      </c>
      <c r="D25" s="1" t="str">
        <f t="shared" ca="1" si="1"/>
        <v>Main Warehouse CH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.75" customHeight="1">
      <c r="A26" s="1" t="str">
        <f ca="1">IFERROR(__xludf.DUMMYFUNCTION("""COMPUTED_VALUE"""),"George Deep Sea")</f>
        <v>George Deep Sea</v>
      </c>
      <c r="B26" s="1">
        <f ca="1">IFERROR(__xludf.DUMMYFUNCTION("""COMPUTED_VALUE"""),310908)</f>
        <v>310908</v>
      </c>
      <c r="C26" s="2" t="str">
        <f ca="1">IFERROR(__xludf.DUMMYFUNCTION("""COMPUTED_VALUE"""),"https://cdn.shopify.com/s/files/1/0072/5431/0975/files/GeorgeDeepSeasideShopify.jpg?v=1699531492")</f>
        <v>https://cdn.shopify.com/s/files/1/0072/5431/0975/files/GeorgeDeepSeasideShopify.jpg?v=1699531492</v>
      </c>
      <c r="D26" s="1" t="str">
        <f t="shared" ca="1" si="1"/>
        <v>Main Warehouse CH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.75" customHeight="1">
      <c r="A27" s="1" t="str">
        <f ca="1">IFERROR(__xludf.DUMMYFUNCTION("""COMPUTED_VALUE"""),"George Clinique La Prairie")</f>
        <v>George Clinique La Prairie</v>
      </c>
      <c r="B27" s="1">
        <f ca="1">IFERROR(__xludf.DUMMYFUNCTION("""COMPUTED_VALUE"""),330901)</f>
        <v>330901</v>
      </c>
      <c r="C27" s="2" t="str">
        <f ca="1">IFERROR(__xludf.DUMMYFUNCTION("""COMPUTED_VALUE"""),"https://cdn.shopify.com/s/files/1/0072/5431/0975/files/George_CliniqueLaPrairie_01_-_jpeg_2000px.jpg?v=1720692964")</f>
        <v>https://cdn.shopify.com/s/files/1/0072/5431/0975/files/George_CliniqueLaPrairie_01_-_jpeg_2000px.jpg?v=1720692964</v>
      </c>
      <c r="D27" s="1" t="str">
        <f t="shared" ca="1" si="1"/>
        <v>Main Warehouse CH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.75" customHeight="1">
      <c r="A28" s="1" t="str">
        <f ca="1">IFERROR(__xludf.DUMMYFUNCTION("""COMPUTED_VALUE"""),"George Desert Haze")</f>
        <v>George Desert Haze</v>
      </c>
      <c r="B28" s="1">
        <f ca="1">IFERROR(__xludf.DUMMYFUNCTION("""COMPUTED_VALUE"""),110904)</f>
        <v>110904</v>
      </c>
      <c r="C28" s="2" t="str">
        <f ca="1">IFERROR(__xludf.DUMMYFUNCTION("""COMPUTED_VALUE"""),"https://cdn.shopify.com/s/files/1/0072/5431/0975/products/gnl00294-Edit-web.jpg?v=1694686467")</f>
        <v>https://cdn.shopify.com/s/files/1/0072/5431/0975/products/gnl00294-Edit-web.jpg?v=1694686467</v>
      </c>
      <c r="D28" s="1" t="str">
        <f t="shared" ca="1" si="1"/>
        <v>Main Warehouse CH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f ca="1">IFERROR(__xludf.DUMMYFUNCTION("""COMPUTED_VALUE"""),8)</f>
        <v>8</v>
      </c>
      <c r="V28" s="1">
        <f ca="1">IFERROR(__xludf.DUMMYFUNCTION("""COMPUTED_VALUE"""),20)</f>
        <v>20</v>
      </c>
      <c r="W28" s="1">
        <f ca="1">IFERROR(__xludf.DUMMYFUNCTION("""COMPUTED_VALUE"""),22)</f>
        <v>22</v>
      </c>
      <c r="X28" s="1">
        <f ca="1">IFERROR(__xludf.DUMMYFUNCTION("""COMPUTED_VALUE"""),38)</f>
        <v>38</v>
      </c>
      <c r="Y28" s="1">
        <f ca="1">IFERROR(__xludf.DUMMYFUNCTION("""COMPUTED_VALUE"""),34)</f>
        <v>34</v>
      </c>
      <c r="Z28" s="1">
        <f ca="1">IFERROR(__xludf.DUMMYFUNCTION("""COMPUTED_VALUE"""),14)</f>
        <v>14</v>
      </c>
      <c r="AA28" s="1">
        <f ca="1">IFERROR(__xludf.DUMMYFUNCTION("""COMPUTED_VALUE"""),1)</f>
        <v>1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.75" customHeight="1">
      <c r="A29" s="1" t="str">
        <f ca="1">IFERROR(__xludf.DUMMYFUNCTION("""COMPUTED_VALUE"""),"Water-Line Red")</f>
        <v>Water-Line Red</v>
      </c>
      <c r="B29" s="1">
        <f ca="1">IFERROR(__xludf.DUMMYFUNCTION("""COMPUTED_VALUE"""),220125)</f>
        <v>220125</v>
      </c>
      <c r="C29" s="2" t="str">
        <f ca="1">IFERROR(__xludf.DUMMYFUNCTION("""COMPUTED_VALUE"""),"https://cdn.shopify.com/s/files/1/0072/5431/0975/files/WaterLine_Red_01-jpeg2000px.jpg?v=1720693506")</f>
        <v>https://cdn.shopify.com/s/files/1/0072/5431/0975/files/WaterLine_Red_01-jpeg2000px.jpg?v=1720693506</v>
      </c>
      <c r="D29" s="1" t="str">
        <f t="shared" ca="1" si="1"/>
        <v>Main Warehouse CH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.75" customHeight="1">
      <c r="A30" s="1" t="str">
        <f ca="1">IFERROR(__xludf.DUMMYFUNCTION("""COMPUTED_VALUE"""),"George Fire-Line Twilight Sky")</f>
        <v>George Fire-Line Twilight Sky</v>
      </c>
      <c r="B30" s="1">
        <f ca="1">IFERROR(__xludf.DUMMYFUNCTION("""COMPUTED_VALUE"""),330907)</f>
        <v>330907</v>
      </c>
      <c r="C30" s="2" t="str">
        <f ca="1">IFERROR(__xludf.DUMMYFUNCTION("""COMPUTED_VALUE"""),"https://cdn.shopify.com/s/files/1/0072/5431/0975/files/George_FireLine_TwighlightSky_01-jpeg2000px.jpg?v=1723538377")</f>
        <v>https://cdn.shopify.com/s/files/1/0072/5431/0975/files/George_FireLine_TwighlightSky_01-jpeg2000px.jpg?v=1723538377</v>
      </c>
      <c r="D30" s="1" t="str">
        <f t="shared" ca="1" si="1"/>
        <v>Main Warehouse CH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>
        <f ca="1">IFERROR(__xludf.DUMMYFUNCTION("""COMPUTED_VALUE"""),8)</f>
        <v>8</v>
      </c>
      <c r="AC30" s="1">
        <f ca="1">IFERROR(__xludf.DUMMYFUNCTION("""COMPUTED_VALUE"""),7)</f>
        <v>7</v>
      </c>
      <c r="AD30" s="1">
        <f ca="1">IFERROR(__xludf.DUMMYFUNCTION("""COMPUTED_VALUE"""),14)</f>
        <v>14</v>
      </c>
      <c r="AE30" s="1">
        <f ca="1">IFERROR(__xludf.DUMMYFUNCTION("""COMPUTED_VALUE"""),13)</f>
        <v>13</v>
      </c>
      <c r="AF30" s="1">
        <f ca="1">IFERROR(__xludf.DUMMYFUNCTION("""COMPUTED_VALUE"""),13)</f>
        <v>13</v>
      </c>
      <c r="AG30" s="1">
        <f ca="1">IFERROR(__xludf.DUMMYFUNCTION("""COMPUTED_VALUE"""),12)</f>
        <v>12</v>
      </c>
      <c r="AH30" s="1">
        <f ca="1">IFERROR(__xludf.DUMMYFUNCTION("""COMPUTED_VALUE"""),6)</f>
        <v>6</v>
      </c>
      <c r="AI30" s="1">
        <f ca="1">IFERROR(__xludf.DUMMYFUNCTION("""COMPUTED_VALUE"""),12)</f>
        <v>12</v>
      </c>
      <c r="AJ30" s="1">
        <f ca="1">IFERROR(__xludf.DUMMYFUNCTION("""COMPUTED_VALUE"""),11)</f>
        <v>11</v>
      </c>
      <c r="AK30" s="1">
        <f ca="1">IFERROR(__xludf.DUMMYFUNCTION("""COMPUTED_VALUE"""),12)</f>
        <v>12</v>
      </c>
      <c r="AL30" s="1">
        <f ca="1">IFERROR(__xludf.DUMMYFUNCTION("""COMPUTED_VALUE"""),16)</f>
        <v>16</v>
      </c>
      <c r="AM30" s="1">
        <f ca="1">IFERROR(__xludf.DUMMYFUNCTION("""COMPUTED_VALUE"""),1)</f>
        <v>1</v>
      </c>
    </row>
    <row r="31" spans="1:39" ht="15.75" customHeight="1">
      <c r="A31" s="1" t="str">
        <f ca="1">IFERROR(__xludf.DUMMYFUNCTION("""COMPUTED_VALUE"""),"George Almond Haze")</f>
        <v>George Almond Haze</v>
      </c>
      <c r="B31" s="1">
        <f ca="1">IFERROR(__xludf.DUMMYFUNCTION("""COMPUTED_VALUE"""),310914)</f>
        <v>310914</v>
      </c>
      <c r="C31" s="2" t="str">
        <f ca="1">IFERROR(__xludf.DUMMYFUNCTION("""COMPUTED_VALUE"""),"https://cdn.shopify.com/s/files/1/0072/5431/0975/files/George_AlmondHaze_01-jpeg2000px.jpg?v=1722535932")</f>
        <v>https://cdn.shopify.com/s/files/1/0072/5431/0975/files/George_AlmondHaze_01-jpeg2000px.jpg?v=1722535932</v>
      </c>
      <c r="D31" s="1" t="str">
        <f t="shared" ca="1" si="1"/>
        <v>Main Warehouse CH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>
        <f ca="1">IFERROR(__xludf.DUMMYFUNCTION("""COMPUTED_VALUE"""),3)</f>
        <v>3</v>
      </c>
      <c r="AC31" s="1">
        <f ca="1">IFERROR(__xludf.DUMMYFUNCTION("""COMPUTED_VALUE"""),4)</f>
        <v>4</v>
      </c>
      <c r="AD31" s="1">
        <f ca="1">IFERROR(__xludf.DUMMYFUNCTION("""COMPUTED_VALUE"""),40)</f>
        <v>40</v>
      </c>
      <c r="AE31" s="1">
        <f ca="1">IFERROR(__xludf.DUMMYFUNCTION("""COMPUTED_VALUE"""),37)</f>
        <v>37</v>
      </c>
      <c r="AF31" s="1">
        <f ca="1">IFERROR(__xludf.DUMMYFUNCTION("""COMPUTED_VALUE"""),24)</f>
        <v>24</v>
      </c>
      <c r="AG31" s="1">
        <f ca="1">IFERROR(__xludf.DUMMYFUNCTION("""COMPUTED_VALUE"""),5)</f>
        <v>5</v>
      </c>
      <c r="AH31" s="1">
        <f ca="1">IFERROR(__xludf.DUMMYFUNCTION("""COMPUTED_VALUE"""),1)</f>
        <v>1</v>
      </c>
      <c r="AI31" s="1">
        <f ca="1">IFERROR(__xludf.DUMMYFUNCTION("""COMPUTED_VALUE"""),2)</f>
        <v>2</v>
      </c>
      <c r="AJ31" s="1"/>
      <c r="AK31" s="1"/>
      <c r="AL31" s="1"/>
      <c r="AM31" s="1">
        <f ca="1">IFERROR(__xludf.DUMMYFUNCTION("""COMPUTED_VALUE"""),1)</f>
        <v>1</v>
      </c>
    </row>
    <row r="32" spans="1:39" ht="15.75" customHeight="1">
      <c r="A32" s="1" t="str">
        <f ca="1">IFERROR(__xludf.DUMMYFUNCTION("""COMPUTED_VALUE"""),"George Fire-Line Beach Breeze")</f>
        <v>George Fire-Line Beach Breeze</v>
      </c>
      <c r="B32" s="1">
        <f ca="1">IFERROR(__xludf.DUMMYFUNCTION("""COMPUTED_VALUE"""),330910)</f>
        <v>330910</v>
      </c>
      <c r="C32" s="2" t="str">
        <f ca="1">IFERROR(__xludf.DUMMYFUNCTION("""COMPUTED_VALUE"""),"https://cdn.shopify.com/s/files/1/0072/5431/0975/files/George_FireLine_BeachBreeze_01-jpeg2000px_1.jpg?v=1723554209")</f>
        <v>https://cdn.shopify.com/s/files/1/0072/5431/0975/files/George_FireLine_BeachBreeze_01-jpeg2000px_1.jpg?v=1723554209</v>
      </c>
      <c r="D32" s="1" t="str">
        <f t="shared" ca="1" si="1"/>
        <v>Main Warehouse CH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>
        <f ca="1">IFERROR(__xludf.DUMMYFUNCTION("""COMPUTED_VALUE"""),8)</f>
        <v>8</v>
      </c>
      <c r="AC32" s="1">
        <f ca="1">IFERROR(__xludf.DUMMYFUNCTION("""COMPUTED_VALUE"""),10)</f>
        <v>10</v>
      </c>
      <c r="AD32" s="1">
        <f ca="1">IFERROR(__xludf.DUMMYFUNCTION("""COMPUTED_VALUE"""),10)</f>
        <v>10</v>
      </c>
      <c r="AE32" s="1">
        <f ca="1">IFERROR(__xludf.DUMMYFUNCTION("""COMPUTED_VALUE"""),10)</f>
        <v>10</v>
      </c>
      <c r="AF32" s="1">
        <f ca="1">IFERROR(__xludf.DUMMYFUNCTION("""COMPUTED_VALUE"""),10)</f>
        <v>10</v>
      </c>
      <c r="AG32" s="1">
        <f ca="1">IFERROR(__xludf.DUMMYFUNCTION("""COMPUTED_VALUE"""),11)</f>
        <v>11</v>
      </c>
      <c r="AH32" s="1">
        <f ca="1">IFERROR(__xludf.DUMMYFUNCTION("""COMPUTED_VALUE"""),11)</f>
        <v>11</v>
      </c>
      <c r="AI32" s="1">
        <f ca="1">IFERROR(__xludf.DUMMYFUNCTION("""COMPUTED_VALUE"""),10)</f>
        <v>10</v>
      </c>
      <c r="AJ32" s="1">
        <f ca="1">IFERROR(__xludf.DUMMYFUNCTION("""COMPUTED_VALUE"""),10)</f>
        <v>10</v>
      </c>
      <c r="AK32" s="1">
        <f ca="1">IFERROR(__xludf.DUMMYFUNCTION("""COMPUTED_VALUE"""),11)</f>
        <v>11</v>
      </c>
      <c r="AL32" s="1">
        <f ca="1">IFERROR(__xludf.DUMMYFUNCTION("""COMPUTED_VALUE"""),2)</f>
        <v>2</v>
      </c>
      <c r="AM32" s="1">
        <f ca="1">IFERROR(__xludf.DUMMYFUNCTION("""COMPUTED_VALUE"""),0)</f>
        <v>0</v>
      </c>
    </row>
    <row r="33" spans="1:39" ht="15.75" customHeight="1">
      <c r="A33" s="1" t="str">
        <f ca="1">IFERROR(__xludf.DUMMYFUNCTION("""COMPUTED_VALUE"""),"George Stracciatella")</f>
        <v>George Stracciatella</v>
      </c>
      <c r="B33" s="1">
        <f ca="1">IFERROR(__xludf.DUMMYFUNCTION("""COMPUTED_VALUE"""),310901)</f>
        <v>310901</v>
      </c>
      <c r="C33" s="2" t="str">
        <f ca="1">IFERROR(__xludf.DUMMYFUNCTION("""COMPUTED_VALUE"""),"https://cdn.shopify.com/s/files/1/0072/5431/0975/files/George_Stracciatella_01_-_jpeg_2000px.jpg?v=1720684288")</f>
        <v>https://cdn.shopify.com/s/files/1/0072/5431/0975/files/George_Stracciatella_01_-_jpeg_2000px.jpg?v=1720684288</v>
      </c>
      <c r="D33" s="1" t="str">
        <f t="shared" ca="1" si="1"/>
        <v>Main Warehouse CH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.75" customHeight="1">
      <c r="A34" s="1" t="str">
        <f ca="1">IFERROR(__xludf.DUMMYFUNCTION("""COMPUTED_VALUE"""),"George Fire-Line Night Chocolate")</f>
        <v>George Fire-Line Night Chocolate</v>
      </c>
      <c r="B34" s="1">
        <f ca="1">IFERROR(__xludf.DUMMYFUNCTION("""COMPUTED_VALUE"""),330908)</f>
        <v>330908</v>
      </c>
      <c r="C34" s="2" t="str">
        <f ca="1">IFERROR(__xludf.DUMMYFUNCTION("""COMPUTED_VALUE"""),"https://cdn.shopify.com/s/files/1/0072/5431/0975/files/George_FireLine_NightChocolate_01-jpeg2000px.jpg?v=1722536102")</f>
        <v>https://cdn.shopify.com/s/files/1/0072/5431/0975/files/George_FireLine_NightChocolate_01-jpeg2000px.jpg?v=1722536102</v>
      </c>
      <c r="D34" s="1" t="str">
        <f t="shared" ca="1" si="1"/>
        <v>Main Warehouse CH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>
        <f ca="1">IFERROR(__xludf.DUMMYFUNCTION("""COMPUTED_VALUE"""),12)</f>
        <v>12</v>
      </c>
      <c r="AC34" s="1">
        <f ca="1">IFERROR(__xludf.DUMMYFUNCTION("""COMPUTED_VALUE"""),7)</f>
        <v>7</v>
      </c>
      <c r="AD34" s="1">
        <f ca="1">IFERROR(__xludf.DUMMYFUNCTION("""COMPUTED_VALUE"""),5)</f>
        <v>5</v>
      </c>
      <c r="AE34" s="1">
        <f ca="1">IFERROR(__xludf.DUMMYFUNCTION("""COMPUTED_VALUE"""),8)</f>
        <v>8</v>
      </c>
      <c r="AF34" s="1">
        <f ca="1">IFERROR(__xludf.DUMMYFUNCTION("""COMPUTED_VALUE"""),9)</f>
        <v>9</v>
      </c>
      <c r="AG34" s="1">
        <f ca="1">IFERROR(__xludf.DUMMYFUNCTION("""COMPUTED_VALUE"""),14)</f>
        <v>14</v>
      </c>
      <c r="AH34" s="1">
        <f ca="1">IFERROR(__xludf.DUMMYFUNCTION("""COMPUTED_VALUE"""),9)</f>
        <v>9</v>
      </c>
      <c r="AI34" s="1">
        <f ca="1">IFERROR(__xludf.DUMMYFUNCTION("""COMPUTED_VALUE"""),7)</f>
        <v>7</v>
      </c>
      <c r="AJ34" s="1">
        <f ca="1">IFERROR(__xludf.DUMMYFUNCTION("""COMPUTED_VALUE"""),6)</f>
        <v>6</v>
      </c>
      <c r="AK34" s="1">
        <f ca="1">IFERROR(__xludf.DUMMYFUNCTION("""COMPUTED_VALUE"""),3)</f>
        <v>3</v>
      </c>
      <c r="AL34" s="1">
        <f ca="1">IFERROR(__xludf.DUMMYFUNCTION("""COMPUTED_VALUE"""),4)</f>
        <v>4</v>
      </c>
      <c r="AM34" s="1">
        <f ca="1">IFERROR(__xludf.DUMMYFUNCTION("""COMPUTED_VALUE"""),1)</f>
        <v>1</v>
      </c>
    </row>
    <row r="35" spans="1:39" ht="15.75" customHeight="1">
      <c r="A35" s="1" t="str">
        <f ca="1">IFERROR(__xludf.DUMMYFUNCTION("""COMPUTED_VALUE"""),"George Fire-Line Deep Black")</f>
        <v>George Fire-Line Deep Black</v>
      </c>
      <c r="B35" s="1">
        <f ca="1">IFERROR(__xludf.DUMMYFUNCTION("""COMPUTED_VALUE"""),330906)</f>
        <v>330906</v>
      </c>
      <c r="C35" s="2" t="str">
        <f ca="1">IFERROR(__xludf.DUMMYFUNCTION("""COMPUTED_VALUE"""),"https://cdn.shopify.com/s/files/1/0072/5431/0975/files/George_FireLine_DeepBlack_01-jpeg2000px.jpg?v=1722537151")</f>
        <v>https://cdn.shopify.com/s/files/1/0072/5431/0975/files/George_FireLine_DeepBlack_01-jpeg2000px.jpg?v=1722537151</v>
      </c>
      <c r="D35" s="1" t="str">
        <f t="shared" ca="1" si="1"/>
        <v>Main Warehouse CH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>
        <f ca="1">IFERROR(__xludf.DUMMYFUNCTION("""COMPUTED_VALUE"""),10)</f>
        <v>10</v>
      </c>
      <c r="AC35" s="1">
        <f ca="1">IFERROR(__xludf.DUMMYFUNCTION("""COMPUTED_VALUE"""),8)</f>
        <v>8</v>
      </c>
      <c r="AD35" s="1">
        <f ca="1">IFERROR(__xludf.DUMMYFUNCTION("""COMPUTED_VALUE"""),8)</f>
        <v>8</v>
      </c>
      <c r="AE35" s="1">
        <f ca="1">IFERROR(__xludf.DUMMYFUNCTION("""COMPUTED_VALUE"""),9)</f>
        <v>9</v>
      </c>
      <c r="AF35" s="1">
        <f ca="1">IFERROR(__xludf.DUMMYFUNCTION("""COMPUTED_VALUE"""),10)</f>
        <v>10</v>
      </c>
      <c r="AG35" s="1">
        <f ca="1">IFERROR(__xludf.DUMMYFUNCTION("""COMPUTED_VALUE"""),6)</f>
        <v>6</v>
      </c>
      <c r="AH35" s="1">
        <f ca="1">IFERROR(__xludf.DUMMYFUNCTION("""COMPUTED_VALUE"""),7)</f>
        <v>7</v>
      </c>
      <c r="AI35" s="1">
        <f ca="1">IFERROR(__xludf.DUMMYFUNCTION("""COMPUTED_VALUE"""),4)</f>
        <v>4</v>
      </c>
      <c r="AJ35" s="1">
        <f ca="1">IFERROR(__xludf.DUMMYFUNCTION("""COMPUTED_VALUE"""),4)</f>
        <v>4</v>
      </c>
      <c r="AK35" s="1">
        <f ca="1">IFERROR(__xludf.DUMMYFUNCTION("""COMPUTED_VALUE"""),8)</f>
        <v>8</v>
      </c>
      <c r="AL35" s="1">
        <f ca="1">IFERROR(__xludf.DUMMYFUNCTION("""COMPUTED_VALUE"""),10)</f>
        <v>10</v>
      </c>
      <c r="AM35" s="1">
        <f ca="1">IFERROR(__xludf.DUMMYFUNCTION("""COMPUTED_VALUE"""),1)</f>
        <v>1</v>
      </c>
    </row>
    <row r="36" spans="1:39" ht="15.75" customHeight="1">
      <c r="A36" s="1" t="str">
        <f ca="1">IFERROR(__xludf.DUMMYFUNCTION("""COMPUTED_VALUE"""),"Water-Line Mint")</f>
        <v>Water-Line Mint</v>
      </c>
      <c r="B36" s="1">
        <f ca="1">IFERROR(__xludf.DUMMYFUNCTION("""COMPUTED_VALUE"""),120128)</f>
        <v>120128</v>
      </c>
      <c r="C36" s="2" t="str">
        <f ca="1">IFERROR(__xludf.DUMMYFUNCTION("""COMPUTED_VALUE"""),"https://cdn.shopify.com/s/files/1/0072/5431/0975/files/check123.png?v=1712244719")</f>
        <v>https://cdn.shopify.com/s/files/1/0072/5431/0975/files/check123.png?v=1712244719</v>
      </c>
      <c r="D36" s="1" t="str">
        <f t="shared" ca="1" si="1"/>
        <v>Main Warehouse CH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.75" customHeight="1">
      <c r="A37" s="1" t="str">
        <f ca="1">IFERROR(__xludf.DUMMYFUNCTION("""COMPUTED_VALUE"""),"George Liquorice Black")</f>
        <v>George Liquorice Black</v>
      </c>
      <c r="B37" s="1">
        <f ca="1">IFERROR(__xludf.DUMMYFUNCTION("""COMPUTED_VALUE"""),310902)</f>
        <v>310902</v>
      </c>
      <c r="C37" s="2" t="str">
        <f ca="1">IFERROR(__xludf.DUMMYFUNCTION("""COMPUTED_VALUE"""),"https://cdn.shopify.com/s/files/1/0072/5431/0975/products/gnl00290-Edit-web.jpg?v=1694685740")</f>
        <v>https://cdn.shopify.com/s/files/1/0072/5431/0975/products/gnl00290-Edit-web.jpg?v=1694685740</v>
      </c>
      <c r="D37" s="1" t="str">
        <f t="shared" ref="D37:D65" ca="1" si="2">IFERROR(__xludf.DUMMYFUNCTION("""COMPUTED_VALUE"""),"Main Warehouse CH")</f>
        <v>Main Warehouse CH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.75" customHeight="1">
      <c r="A38" s="1" t="str">
        <f ca="1">IFERROR(__xludf.DUMMYFUNCTION("""COMPUTED_VALUE"""),"Water-Line Black")</f>
        <v>Water-Line Black</v>
      </c>
      <c r="B38" s="1">
        <f ca="1">IFERROR(__xludf.DUMMYFUNCTION("""COMPUTED_VALUE"""),120123)</f>
        <v>120123</v>
      </c>
      <c r="C38" s="2" t="str">
        <f ca="1">IFERROR(__xludf.DUMMYFUNCTION("""COMPUTED_VALUE"""),"https://cdn.shopify.com/s/files/1/0072/5431/0975/products/GnL_W_13_3.jpg?v=1582311419")</f>
        <v>https://cdn.shopify.com/s/files/1/0072/5431/0975/products/GnL_W_13_3.jpg?v=1582311419</v>
      </c>
      <c r="D38" s="1" t="str">
        <f t="shared" ca="1" si="2"/>
        <v>Main Warehouse CH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>
        <f ca="1">IFERROR(__xludf.DUMMYFUNCTION("""COMPUTED_VALUE"""),32)</f>
        <v>32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.75" customHeight="1">
      <c r="A39" s="1" t="str">
        <f ca="1">IFERROR(__xludf.DUMMYFUNCTION("""COMPUTED_VALUE"""),"Earth-Line Black")</f>
        <v>Earth-Line Black</v>
      </c>
      <c r="B39" s="1">
        <f ca="1">IFERROR(__xludf.DUMMYFUNCTION("""COMPUTED_VALUE"""),110110)</f>
        <v>110110</v>
      </c>
      <c r="C39" s="2" t="str">
        <f ca="1">IFERROR(__xludf.DUMMYFUNCTION("""COMPUTED_VALUE"""),"https://cdn.shopify.com/s/files/1/0072/5431/0975/products/GnL_W_02_3_02.jpg?v=1582312603")</f>
        <v>https://cdn.shopify.com/s/files/1/0072/5431/0975/products/GnL_W_02_3_02.jpg?v=1582312603</v>
      </c>
      <c r="D39" s="1" t="str">
        <f t="shared" ca="1" si="2"/>
        <v>Main Warehouse CH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>
        <f ca="1">IFERROR(__xludf.DUMMYFUNCTION("""COMPUTED_VALUE"""),33)</f>
        <v>33</v>
      </c>
      <c r="V39" s="1">
        <f ca="1">IFERROR(__xludf.DUMMYFUNCTION("""COMPUTED_VALUE"""),14)</f>
        <v>14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.75" customHeight="1">
      <c r="A40" s="1" t="str">
        <f ca="1">IFERROR(__xludf.DUMMYFUNCTION("""COMPUTED_VALUE"""),"Water-Line Mustard")</f>
        <v>Water-Line Mustard</v>
      </c>
      <c r="B40" s="1">
        <f ca="1">IFERROR(__xludf.DUMMYFUNCTION("""COMPUTED_VALUE"""),120127)</f>
        <v>120127</v>
      </c>
      <c r="C40" s="2" t="str">
        <f ca="1">IFERROR(__xludf.DUMMYFUNCTION("""COMPUTED_VALUE"""),"https://cdn.shopify.com/s/files/1/0072/5431/0975/products/GnL_W_11_3.jpg?v=1582310609")</f>
        <v>https://cdn.shopify.com/s/files/1/0072/5431/0975/products/GnL_W_11_3.jpg?v=1582310609</v>
      </c>
      <c r="D40" s="1" t="str">
        <f t="shared" ca="1" si="2"/>
        <v>Main Warehouse CH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>
        <f ca="1">IFERROR(__xludf.DUMMYFUNCTION("""COMPUTED_VALUE"""),32)</f>
        <v>32</v>
      </c>
      <c r="V40" s="1"/>
      <c r="W40" s="1"/>
      <c r="X40" s="1"/>
      <c r="Y40" s="1">
        <f ca="1">IFERROR(__xludf.DUMMYFUNCTION("""COMPUTED_VALUE"""),6)</f>
        <v>6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.75" customHeight="1">
      <c r="A41" s="1" t="str">
        <f ca="1">IFERROR(__xludf.DUMMYFUNCTION("""COMPUTED_VALUE"""),"Water-Line Taupe")</f>
        <v>Water-Line Taupe</v>
      </c>
      <c r="B41" s="1">
        <f ca="1">IFERROR(__xludf.DUMMYFUNCTION("""COMPUTED_VALUE"""),220126)</f>
        <v>220126</v>
      </c>
      <c r="C41" s="2" t="str">
        <f ca="1">IFERROR(__xludf.DUMMYFUNCTION("""COMPUTED_VALUE"""),"https://cdn.shopify.com/s/files/1/0072/5431/0975/files/wl_beige_side_2.png?v=1712244273")</f>
        <v>https://cdn.shopify.com/s/files/1/0072/5431/0975/files/wl_beige_side_2.png?v=1712244273</v>
      </c>
      <c r="D41" s="1" t="str">
        <f t="shared" ca="1" si="2"/>
        <v>Main Warehouse CH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.75" customHeight="1">
      <c r="A42" s="1" t="str">
        <f ca="1">IFERROR(__xludf.DUMMYFUNCTION("""COMPUTED_VALUE"""),"George Sunset Sky")</f>
        <v>George Sunset Sky</v>
      </c>
      <c r="B42" s="1">
        <f ca="1">IFERROR(__xludf.DUMMYFUNCTION("""COMPUTED_VALUE"""),310907)</f>
        <v>310907</v>
      </c>
      <c r="C42" s="2" t="str">
        <f ca="1">IFERROR(__xludf.DUMMYFUNCTION("""COMPUTED_VALUE"""),"https://cdn.shopify.com/s/files/1/0072/5431/0975/products/gnl00224-Edit-web.jpg?v=1694780857")</f>
        <v>https://cdn.shopify.com/s/files/1/0072/5431/0975/products/gnl00224-Edit-web.jpg?v=1694780857</v>
      </c>
      <c r="D42" s="1" t="str">
        <f t="shared" ca="1" si="2"/>
        <v>Main Warehouse CH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.75" customHeight="1">
      <c r="A43" s="1" t="str">
        <f ca="1">IFERROR(__xludf.DUMMYFUNCTION("""COMPUTED_VALUE"""),"Fire-Line Lime / Flame / Black")</f>
        <v>Fire-Line Lime / Flame / Black</v>
      </c>
      <c r="B43" s="1">
        <f ca="1">IFERROR(__xludf.DUMMYFUNCTION("""COMPUTED_VALUE"""),330131)</f>
        <v>330131</v>
      </c>
      <c r="C43" s="2" t="str">
        <f ca="1">IFERROR(__xludf.DUMMYFUNCTION("""COMPUTED_VALUE"""),"https://cdn.shopify.com/s/files/1/0072/5431/0975/products/GnL_U_01_3.jpg?v=1582319161")</f>
        <v>https://cdn.shopify.com/s/files/1/0072/5431/0975/products/GnL_U_01_3.jpg?v=1582319161</v>
      </c>
      <c r="D43" s="1" t="str">
        <f t="shared" ca="1" si="2"/>
        <v>Main Warehouse CH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.75" customHeight="1">
      <c r="A44" s="1" t="str">
        <f ca="1">IFERROR(__xludf.DUMMYFUNCTION("""COMPUTED_VALUE"""),"Water-Line Black")</f>
        <v>Water-Line Black</v>
      </c>
      <c r="B44" s="1">
        <f ca="1">IFERROR(__xludf.DUMMYFUNCTION("""COMPUTED_VALUE"""),320121)</f>
        <v>320121</v>
      </c>
      <c r="C44" s="2" t="str">
        <f ca="1">IFERROR(__xludf.DUMMYFUNCTION("""COMPUTED_VALUE"""),"https://cdn.shopify.com/s/files/1/0072/5431/0975/products/GnL_Herbst20_01_3.jpg?v=1616575789")</f>
        <v>https://cdn.shopify.com/s/files/1/0072/5431/0975/products/GnL_Herbst20_01_3.jpg?v=1616575789</v>
      </c>
      <c r="D44" s="1" t="str">
        <f t="shared" ca="1" si="2"/>
        <v>Main Warehouse CH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.75" customHeight="1">
      <c r="A45" s="1" t="str">
        <f ca="1">IFERROR(__xludf.DUMMYFUNCTION("""COMPUTED_VALUE"""),"Earth-Line Navy Blue / Cream")</f>
        <v>Earth-Line Navy Blue / Cream</v>
      </c>
      <c r="B45" s="1" t="str">
        <f ca="1">IFERROR(__xludf.DUMMYFUNCTION("""COMPUTED_VALUE"""),"1.1.01.11")</f>
        <v>1.1.01.11</v>
      </c>
      <c r="C45" s="2" t="str">
        <f ca="1">IFERROR(__xludf.DUMMYFUNCTION("""COMPUTED_VALUE"""),"https://cdn.shopify.com/s/files/1/0072/5431/0975/products/GnL_W_01_3.jpg?v=1582312187")</f>
        <v>https://cdn.shopify.com/s/files/1/0072/5431/0975/products/GnL_W_01_3.jpg?v=1582312187</v>
      </c>
      <c r="D45" s="1" t="str">
        <f t="shared" ca="1" si="2"/>
        <v>Main Warehouse CH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f ca="1">IFERROR(__xludf.DUMMYFUNCTION("""COMPUTED_VALUE"""),20)</f>
        <v>20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.75" customHeight="1">
      <c r="A46" s="1" t="str">
        <f ca="1">IFERROR(__xludf.DUMMYFUNCTION("""COMPUTED_VALUE"""),"George Navy Peach")</f>
        <v>George Navy Peach</v>
      </c>
      <c r="B46" s="1">
        <f ca="1">IFERROR(__xludf.DUMMYFUNCTION("""COMPUTED_VALUE"""),110901)</f>
        <v>110901</v>
      </c>
      <c r="C46" s="2" t="str">
        <f ca="1">IFERROR(__xludf.DUMMYFUNCTION("""COMPUTED_VALUE"""),"https://cdn.shopify.com/s/files/1/0072/5431/0975/products/gnl00300-Edit-Edit-web.jpg?v=1694686968")</f>
        <v>https://cdn.shopify.com/s/files/1/0072/5431/0975/products/gnl00300-Edit-Edit-web.jpg?v=1694686968</v>
      </c>
      <c r="D46" s="1" t="str">
        <f t="shared" ca="1" si="2"/>
        <v>Main Warehouse CH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>
        <f ca="1">IFERROR(__xludf.DUMMYFUNCTION("""COMPUTED_VALUE"""),0)</f>
        <v>0</v>
      </c>
      <c r="V46" s="1">
        <f ca="1">IFERROR(__xludf.DUMMYFUNCTION("""COMPUTED_VALUE"""),2)</f>
        <v>2</v>
      </c>
      <c r="W46" s="1">
        <f ca="1">IFERROR(__xludf.DUMMYFUNCTION("""COMPUTED_VALUE"""),0)</f>
        <v>0</v>
      </c>
      <c r="X46" s="1"/>
      <c r="Y46" s="1">
        <f ca="1">IFERROR(__xludf.DUMMYFUNCTION("""COMPUTED_VALUE"""),16)</f>
        <v>16</v>
      </c>
      <c r="Z46" s="1">
        <f ca="1">IFERROR(__xludf.DUMMYFUNCTION("""COMPUTED_VALUE"""),1)</f>
        <v>1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.75" customHeight="1">
      <c r="A47" s="1" t="str">
        <f ca="1">IFERROR(__xludf.DUMMYFUNCTION("""COMPUTED_VALUE"""),"Water-Line White")</f>
        <v>Water-Line White</v>
      </c>
      <c r="B47" s="1">
        <f ca="1">IFERROR(__xludf.DUMMYFUNCTION("""COMPUTED_VALUE"""),220127)</f>
        <v>220127</v>
      </c>
      <c r="C47" s="2" t="str">
        <f ca="1">IFERROR(__xludf.DUMMYFUNCTION("""COMPUTED_VALUE"""),"https://cdn.shopify.com/s/files/1/0072/5431/0975/files/1check1.png?v=1712245002")</f>
        <v>https://cdn.shopify.com/s/files/1/0072/5431/0975/files/1check1.png?v=1712245002</v>
      </c>
      <c r="D47" s="1" t="str">
        <f t="shared" ca="1" si="2"/>
        <v>Main Warehouse CH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.75" customHeight="1">
      <c r="A48" s="1" t="str">
        <f ca="1">IFERROR(__xludf.DUMMYFUNCTION("""COMPUTED_VALUE"""),"Ballerina D'oro")</f>
        <v>Ballerina D'oro</v>
      </c>
      <c r="B48" s="1">
        <f ca="1">IFERROR(__xludf.DUMMYFUNCTION("""COMPUTED_VALUE"""),110801)</f>
        <v>110801</v>
      </c>
      <c r="C48" s="2" t="str">
        <f ca="1">IFERROR(__xludf.DUMMYFUNCTION("""COMPUTED_VALUE"""),"https://cdn.shopify.com/s/files/1/0072/5431/0975/products/GnL_Ballerina_02_3.jpg?v=1601042368")</f>
        <v>https://cdn.shopify.com/s/files/1/0072/5431/0975/products/GnL_Ballerina_02_3.jpg?v=1601042368</v>
      </c>
      <c r="D48" s="1" t="str">
        <f t="shared" ca="1" si="2"/>
        <v>Main Warehouse CH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>
        <f ca="1">IFERROR(__xludf.DUMMYFUNCTION("""COMPUTED_VALUE"""),2)</f>
        <v>2</v>
      </c>
      <c r="V48" s="1">
        <f ca="1">IFERROR(__xludf.DUMMYFUNCTION("""COMPUTED_VALUE"""),0)</f>
        <v>0</v>
      </c>
      <c r="W48" s="1">
        <f ca="1">IFERROR(__xludf.DUMMYFUNCTION("""COMPUTED_VALUE"""),5)</f>
        <v>5</v>
      </c>
      <c r="X48" s="1">
        <f ca="1">IFERROR(__xludf.DUMMYFUNCTION("""COMPUTED_VALUE"""),8)</f>
        <v>8</v>
      </c>
      <c r="Y48" s="1">
        <f ca="1">IFERROR(__xludf.DUMMYFUNCTION("""COMPUTED_VALUE"""),0)</f>
        <v>0</v>
      </c>
      <c r="Z48" s="1">
        <f ca="1">IFERROR(__xludf.DUMMYFUNCTION("""COMPUTED_VALUE"""),0)</f>
        <v>0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.75" customHeight="1">
      <c r="A49" s="1" t="str">
        <f ca="1">IFERROR(__xludf.DUMMYFUNCTION("""COMPUTED_VALUE"""),"LU2 Black Moon")</f>
        <v>LU2 Black Moon</v>
      </c>
      <c r="B49" s="1">
        <f ca="1">IFERROR(__xludf.DUMMYFUNCTION("""COMPUTED_VALUE"""),310401)</f>
        <v>310401</v>
      </c>
      <c r="C49" s="2" t="str">
        <f ca="1">IFERROR(__xludf.DUMMYFUNCTION("""COMPUTED_VALUE"""),"https://cdn.shopify.com/s/files/1/0072/5431/0975/products/GnL_FW19_01_3.jpg?v=1582319645")</f>
        <v>https://cdn.shopify.com/s/files/1/0072/5431/0975/products/GnL_FW19_01_3.jpg?v=1582319645</v>
      </c>
      <c r="D49" s="1" t="str">
        <f t="shared" ca="1" si="2"/>
        <v>Main Warehouse CH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.75" customHeight="1">
      <c r="A50" s="1" t="str">
        <f ca="1">IFERROR(__xludf.DUMMYFUNCTION("""COMPUTED_VALUE"""),"SW1 Wave")</f>
        <v>SW1 Wave</v>
      </c>
      <c r="B50" s="1">
        <f ca="1">IFERROR(__xludf.DUMMYFUNCTION("""COMPUTED_VALUE"""),110302)</f>
        <v>110302</v>
      </c>
      <c r="C50" s="2" t="str">
        <f ca="1">IFERROR(__xludf.DUMMYFUNCTION("""COMPUTED_VALUE"""),"https://cdn.shopify.com/s/files/1/0072/5431/0975/products/GnL_SS18_06_3.jpg?v=1582318283")</f>
        <v>https://cdn.shopify.com/s/files/1/0072/5431/0975/products/GnL_SS18_06_3.jpg?v=1582318283</v>
      </c>
      <c r="D50" s="1" t="str">
        <f t="shared" ca="1" si="2"/>
        <v>Main Warehouse CH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>
        <f ca="1">IFERROR(__xludf.DUMMYFUNCTION("""COMPUTED_VALUE"""),8)</f>
        <v>8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.75" customHeight="1">
      <c r="A51" s="1" t="str">
        <f ca="1">IFERROR(__xludf.DUMMYFUNCTION("""COMPUTED_VALUE"""),"Earth-Line Royal Blue / Silver")</f>
        <v>Earth-Line Royal Blue / Silver</v>
      </c>
      <c r="B51" s="1">
        <f ca="1">IFERROR(__xludf.DUMMYFUNCTION("""COMPUTED_VALUE"""),110114)</f>
        <v>110114</v>
      </c>
      <c r="C51" s="2" t="str">
        <f ca="1">IFERROR(__xludf.DUMMYFUNCTION("""COMPUTED_VALUE"""),"https://cdn.shopify.com/s/files/1/0072/5431/0975/products/GnL_W_07_3.jpg?v=1582313630")</f>
        <v>https://cdn.shopify.com/s/files/1/0072/5431/0975/products/GnL_W_07_3.jpg?v=1582313630</v>
      </c>
      <c r="D51" s="1" t="str">
        <f t="shared" ca="1" si="2"/>
        <v>Main Warehouse CH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>
        <f ca="1">IFERROR(__xludf.DUMMYFUNCTION("""COMPUTED_VALUE"""),3)</f>
        <v>3</v>
      </c>
      <c r="V51" s="1">
        <f ca="1">IFERROR(__xludf.DUMMYFUNCTION("""COMPUTED_VALUE"""),4)</f>
        <v>4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.75" customHeight="1">
      <c r="A52" s="1" t="str">
        <f ca="1">IFERROR(__xludf.DUMMYFUNCTION("""COMPUTED_VALUE"""),"LW1 Light Salmon")</f>
        <v>LW1 Light Salmon</v>
      </c>
      <c r="B52" s="1">
        <f ca="1">IFERROR(__xludf.DUMMYFUNCTION("""COMPUTED_VALUE"""),110201)</f>
        <v>110201</v>
      </c>
      <c r="C52" s="2" t="str">
        <f ca="1">IFERROR(__xludf.DUMMYFUNCTION("""COMPUTED_VALUE"""),"https://cdn.shopify.com/s/files/1/0072/5431/0975/products/GnL_FW17_06_3.jpg?v=1582316651")</f>
        <v>https://cdn.shopify.com/s/files/1/0072/5431/0975/products/GnL_FW17_06_3.jpg?v=1582316651</v>
      </c>
      <c r="D52" s="1" t="str">
        <f t="shared" ca="1" si="2"/>
        <v>Main Warehouse CH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>
        <f ca="1">IFERROR(__xludf.DUMMYFUNCTION("""COMPUTED_VALUE"""),6)</f>
        <v>6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.75" customHeight="1">
      <c r="A53" s="1" t="str">
        <f ca="1">IFERROR(__xludf.DUMMYFUNCTION("""COMPUTED_VALUE"""),"Hiker Stracciatella")</f>
        <v>Hiker Stracciatella</v>
      </c>
      <c r="B53" s="1">
        <f ca="1">IFERROR(__xludf.DUMMYFUNCTION("""COMPUTED_VALUE"""),310601)</f>
        <v>310601</v>
      </c>
      <c r="C53" s="2" t="str">
        <f ca="1">IFERROR(__xludf.DUMMYFUNCTION("""COMPUTED_VALUE"""),"https://cdn.shopify.com/s/files/1/0072/5431/0975/products/GnL_Hiker_01_3.jpg?v=1597223745")</f>
        <v>https://cdn.shopify.com/s/files/1/0072/5431/0975/products/GnL_Hiker_01_3.jpg?v=1597223745</v>
      </c>
      <c r="D53" s="1" t="str">
        <f t="shared" ca="1" si="2"/>
        <v>Main Warehouse CH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75" customHeight="1">
      <c r="A54" s="1" t="str">
        <f ca="1">IFERROR(__xludf.DUMMYFUNCTION("""COMPUTED_VALUE"""),"LU1 White Beach")</f>
        <v>LU1 White Beach</v>
      </c>
      <c r="B54" s="1">
        <f ca="1">IFERROR(__xludf.DUMMYFUNCTION("""COMPUTED_VALUE"""),310206)</f>
        <v>310206</v>
      </c>
      <c r="C54" s="2" t="str">
        <f ca="1">IFERROR(__xludf.DUMMYFUNCTION("""COMPUTED_VALUE"""),"https://cdn.shopify.com/s/files/1/0072/5431/0975/products/GnL_SS18_04_3.jpg?v=1582317934")</f>
        <v>https://cdn.shopify.com/s/files/1/0072/5431/0975/products/GnL_SS18_04_3.jpg?v=1582317934</v>
      </c>
      <c r="D54" s="1" t="str">
        <f t="shared" ca="1" si="2"/>
        <v>Main Warehouse CH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2.75">
      <c r="A55" s="1" t="str">
        <f ca="1">IFERROR(__xludf.DUMMYFUNCTION("""COMPUTED_VALUE"""),"LU1 Soft Triangulum")</f>
        <v>LU1 Soft Triangulum</v>
      </c>
      <c r="B55" s="1">
        <f ca="1">IFERROR(__xludf.DUMMYFUNCTION("""COMPUTED_VALUE"""),310205)</f>
        <v>310205</v>
      </c>
      <c r="C55" s="2" t="str">
        <f ca="1">IFERROR(__xludf.DUMMYFUNCTION("""COMPUTED_VALUE"""),"https://cdn.shopify.com/s/files/1/0072/5431/0975/products/GnL_SS18_02_3.jpg?v=1582317521")</f>
        <v>https://cdn.shopify.com/s/files/1/0072/5431/0975/products/GnL_SS18_02_3.jpg?v=1582317521</v>
      </c>
      <c r="D55" s="1" t="str">
        <f t="shared" ca="1" si="2"/>
        <v>Main Warehouse CH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2.75">
      <c r="A56" s="1" t="str">
        <f ca="1">IFERROR(__xludf.DUMMYFUNCTION("""COMPUTED_VALUE"""),"LU1 Blue Triangulum")</f>
        <v>LU1 Blue Triangulum</v>
      </c>
      <c r="B56" s="1">
        <f ca="1">IFERROR(__xludf.DUMMYFUNCTION("""COMPUTED_VALUE"""),310204)</f>
        <v>310204</v>
      </c>
      <c r="C56" s="2" t="str">
        <f ca="1">IFERROR(__xludf.DUMMYFUNCTION("""COMPUTED_VALUE"""),"https://cdn.shopify.com/s/files/1/0072/5431/0975/products/GnL_SS18_03_3.jpg?v=1582317739")</f>
        <v>https://cdn.shopify.com/s/files/1/0072/5431/0975/products/GnL_SS18_03_3.jpg?v=1582317739</v>
      </c>
      <c r="D56" s="1" t="str">
        <f t="shared" ca="1" si="2"/>
        <v>Main Warehouse CH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2.75">
      <c r="A57" s="1" t="str">
        <f ca="1">IFERROR(__xludf.DUMMYFUNCTION("""COMPUTED_VALUE"""),"LW1 Cloudy Velvet")</f>
        <v>LW1 Cloudy Velvet</v>
      </c>
      <c r="B57" s="1">
        <f ca="1">IFERROR(__xludf.DUMMYFUNCTION("""COMPUTED_VALUE"""),110202)</f>
        <v>110202</v>
      </c>
      <c r="C57" s="2" t="str">
        <f ca="1">IFERROR(__xludf.DUMMYFUNCTION("""COMPUTED_VALUE"""),"https://cdn.shopify.com/s/files/1/0072/5431/0975/products/GnL_FW17_07_3.jpg?v=1582316821")</f>
        <v>https://cdn.shopify.com/s/files/1/0072/5431/0975/products/GnL_FW17_07_3.jpg?v=1582316821</v>
      </c>
      <c r="D57" s="1" t="str">
        <f t="shared" ca="1" si="2"/>
        <v>Main Warehouse CH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>
        <f ca="1">IFERROR(__xludf.DUMMYFUNCTION("""COMPUTED_VALUE"""),0)</f>
        <v>0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2.75">
      <c r="A58" s="1" t="str">
        <f ca="1">IFERROR(__xludf.DUMMYFUNCTION("""COMPUTED_VALUE"""),"Earth-Line Black Croco")</f>
        <v>Earth-Line Black Croco</v>
      </c>
      <c r="B58" s="1">
        <f ca="1">IFERROR(__xludf.DUMMYFUNCTION("""COMPUTED_VALUE"""),110112)</f>
        <v>110112</v>
      </c>
      <c r="C58" s="2" t="str">
        <f ca="1">IFERROR(__xludf.DUMMYFUNCTION("""COMPUTED_VALUE"""),"https://cdn.shopify.com/s/files/1/0072/5431/0975/products/GnL_W_08_3.jpg?v=1582313792")</f>
        <v>https://cdn.shopify.com/s/files/1/0072/5431/0975/products/GnL_W_08_3.jpg?v=1582313792</v>
      </c>
      <c r="D58" s="1" t="str">
        <f t="shared" ca="1" si="2"/>
        <v>Main Warehouse CH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2.75">
      <c r="A59" s="1" t="str">
        <f ca="1">IFERROR(__xludf.DUMMYFUNCTION("""COMPUTED_VALUE"""),"LW1 Space Dream")</f>
        <v>LW1 Space Dream</v>
      </c>
      <c r="B59" s="1">
        <f ca="1">IFERROR(__xludf.DUMMYFUNCTION("""COMPUTED_VALUE"""),110204)</f>
        <v>110204</v>
      </c>
      <c r="C59" s="2" t="str">
        <f ca="1">IFERROR(__xludf.DUMMYFUNCTION("""COMPUTED_VALUE"""),"https://cdn.shopify.com/s/files/1/0072/5431/0975/products/GnL_SS18_07_3.jpg?v=1582318565")</f>
        <v>https://cdn.shopify.com/s/files/1/0072/5431/0975/products/GnL_SS18_07_3.jpg?v=1582318565</v>
      </c>
      <c r="D59" s="1" t="str">
        <f t="shared" ca="1" si="2"/>
        <v>Main Warehouse CH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2.75">
      <c r="A60" s="1" t="str">
        <f ca="1">IFERROR(__xludf.DUMMYFUNCTION("""COMPUTED_VALUE"""),"Ballerina Stracciatella")</f>
        <v>Ballerina Stracciatella</v>
      </c>
      <c r="B60" s="1">
        <f ca="1">IFERROR(__xludf.DUMMYFUNCTION("""COMPUTED_VALUE"""),110802)</f>
        <v>110802</v>
      </c>
      <c r="C60" s="2" t="str">
        <f ca="1">IFERROR(__xludf.DUMMYFUNCTION("""COMPUTED_VALUE"""),"https://cdn.shopify.com/s/files/1/0072/5431/0975/products/GnL_Ballerina_01_3.jpg?v=1601042576")</f>
        <v>https://cdn.shopify.com/s/files/1/0072/5431/0975/products/GnL_Ballerina_01_3.jpg?v=1601042576</v>
      </c>
      <c r="D60" s="1" t="str">
        <f t="shared" ca="1" si="2"/>
        <v>Main Warehouse CH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2.75">
      <c r="A61" s="1" t="str">
        <f ca="1">IFERROR(__xludf.DUMMYFUNCTION("""COMPUTED_VALUE"""),"LW1 Midnight Slumber")</f>
        <v>LW1 Midnight Slumber</v>
      </c>
      <c r="B61" s="1">
        <f ca="1">IFERROR(__xludf.DUMMYFUNCTION("""COMPUTED_VALUE"""),110203)</f>
        <v>110203</v>
      </c>
      <c r="C61" s="2" t="str">
        <f ca="1">IFERROR(__xludf.DUMMYFUNCTION("""COMPUTED_VALUE"""),"https://cdn.shopify.com/s/files/1/0072/5431/0975/products/GnL_FW17_08_3.jpg?v=1582316977")</f>
        <v>https://cdn.shopify.com/s/files/1/0072/5431/0975/products/GnL_FW17_08_3.jpg?v=1582316977</v>
      </c>
      <c r="D61" s="1" t="str">
        <f t="shared" ca="1" si="2"/>
        <v>Main Warehouse CH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>
        <f ca="1">IFERROR(__xludf.DUMMYFUNCTION("""COMPUTED_VALUE"""),0)</f>
        <v>0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2.75">
      <c r="A62" s="1" t="str">
        <f ca="1">IFERROR(__xludf.DUMMYFUNCTION("""COMPUTED_VALUE"""),"Water-Line Red")</f>
        <v>Water-Line Red</v>
      </c>
      <c r="B62" s="1">
        <f ca="1">IFERROR(__xludf.DUMMYFUNCTION("""COMPUTED_VALUE"""),120126)</f>
        <v>120126</v>
      </c>
      <c r="C62" s="2" t="str">
        <f ca="1">IFERROR(__xludf.DUMMYFUNCTION("""COMPUTED_VALUE"""),"https://cdn.shopify.com/s/files/1/0072/5431/0975/products/GnL_W_09_3.jpg?v=1582303789")</f>
        <v>https://cdn.shopify.com/s/files/1/0072/5431/0975/products/GnL_W_09_3.jpg?v=1582303789</v>
      </c>
      <c r="D62" s="1" t="str">
        <f t="shared" ca="1" si="2"/>
        <v>Main Warehouse CH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2.75">
      <c r="A63" s="1" t="str">
        <f ca="1">IFERROR(__xludf.DUMMYFUNCTION("""COMPUTED_VALUE"""),"LU1 Sage")</f>
        <v>LU1 Sage</v>
      </c>
      <c r="B63" s="1">
        <f ca="1">IFERROR(__xludf.DUMMYFUNCTION("""COMPUTED_VALUE"""),210201)</f>
        <v>210201</v>
      </c>
      <c r="C63" s="2" t="str">
        <f ca="1">IFERROR(__xludf.DUMMYFUNCTION("""COMPUTED_VALUE"""),"https://cdn.shopify.com/s/files/1/0072/5431/0975/products/GnL_FW17_03_3.jpg?v=1582316102")</f>
        <v>https://cdn.shopify.com/s/files/1/0072/5431/0975/products/GnL_FW17_03_3.jpg?v=1582316102</v>
      </c>
      <c r="D63" s="1" t="str">
        <f t="shared" ca="1" si="2"/>
        <v>Main Warehouse CH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2.75">
      <c r="A64" s="1" t="str">
        <f ca="1">IFERROR(__xludf.DUMMYFUNCTION("""COMPUTED_VALUE"""),"Hiker Stealth Black")</f>
        <v>Hiker Stealth Black</v>
      </c>
      <c r="B64" s="1">
        <f ca="1">IFERROR(__xludf.DUMMYFUNCTION("""COMPUTED_VALUE"""),310602)</f>
        <v>310602</v>
      </c>
      <c r="C64" s="2" t="str">
        <f ca="1">IFERROR(__xludf.DUMMYFUNCTION("""COMPUTED_VALUE"""),"https://cdn.shopify.com/s/files/1/0072/5431/0975/products/GnL_Hiker_02_3.jpg?v=1597225280")</f>
        <v>https://cdn.shopify.com/s/files/1/0072/5431/0975/products/GnL_Hiker_02_3.jpg?v=1597225280</v>
      </c>
      <c r="D64" s="1" t="str">
        <f t="shared" ca="1" si="2"/>
        <v>Main Warehouse CH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2.75">
      <c r="A65" s="1" t="str">
        <f ca="1">IFERROR(__xludf.DUMMYFUNCTION("""COMPUTED_VALUE"""),"SU1 Deep Forest")</f>
        <v>SU1 Deep Forest</v>
      </c>
      <c r="B65" s="1">
        <f ca="1">IFERROR(__xludf.DUMMYFUNCTION("""COMPUTED_VALUE"""),310301)</f>
        <v>310301</v>
      </c>
      <c r="C65" s="2" t="str">
        <f ca="1">IFERROR(__xludf.DUMMYFUNCTION("""COMPUTED_VALUE"""),"https://cdn.shopify.com/s/files/1/0072/5431/0975/products/GnL_FW20_01_3.jpg?v=1582320294")</f>
        <v>https://cdn.shopify.com/s/files/1/0072/5431/0975/products/GnL_FW20_01_3.jpg?v=1582320294</v>
      </c>
      <c r="D65" s="1" t="str">
        <f t="shared" ca="1" si="2"/>
        <v>Main Warehouse CH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</sheetData>
  <sheetProtection sheet="1" objects="1" scenarios="1"/>
  <phoneticPr fontId="0" type="noConversion"/>
  <hyperlinks>
    <hyperlink ref="C5" r:id="rId1" display="https://cdn.shopify.com/s/files/1/0072/5431/0975/files/WaterLine_StealthBlack_01-jpeg2000px.jpg?v=1720016699"/>
    <hyperlink ref="C6" r:id="rId2" display="https://cdn.shopify.com/s/files/1/0072/5431/0975/files/George_FireLine_WhiteSand_01_-_jpeg_2000px.jpg?v=1720688720"/>
    <hyperlink ref="C7" r:id="rId3" display="https://cdn.shopify.com/s/files/1/0072/5431/0975/files/WaterLine_NavyBlue_01-jpeg2000px.jpg?v=1720693585"/>
    <hyperlink ref="C8" r:id="rId4" display="https://cdn.shopify.com/s/files/1/0072/5431/0975/files/George_FireLine_BlueNight_01_-_jpeg_2000px.jpg?v=1720688782"/>
    <hyperlink ref="C9" r:id="rId5" display="https://cdn.shopify.com/s/files/1/0072/5431/0975/files/George_IceWhite_01_-_jpeg_2000px_2.jpg?v=1720693257"/>
    <hyperlink ref="C10" r:id="rId6" display="https://cdn.shopify.com/s/files/1/0072/5431/0975/files/GFL4.png?v=1713288202"/>
    <hyperlink ref="C11" r:id="rId7" display="https://cdn.shopify.com/s/files/1/0072/5431/0975/files/George_BlueMoon_01_-_jpeg_2000px.jpg?v=1720688878"/>
    <hyperlink ref="C12" r:id="rId8" display="https://cdn.shopify.com/s/files/1/0072/5431/0975/products/gnl00281-web.jpg?v=1713356055"/>
    <hyperlink ref="C13" r:id="rId9" display="https://cdn.shopify.com/s/files/1/0072/5431/0975/files/LU1_LiquoriceBlack_01_-_jpeg_2000px.jpg?v=1720688538"/>
    <hyperlink ref="C14" r:id="rId10" display="https://cdn.shopify.com/s/files/1/0072/5431/0975/products/gnl00236-web.jpg?v=1694780874"/>
    <hyperlink ref="C15" r:id="rId11" display="https://cdn.shopify.com/s/files/1/0072/5431/0975/products/gnl00288-Edit-web.jpg?v=1694685816"/>
    <hyperlink ref="C16" r:id="rId12" display="https://cdn.shopify.com/s/files/1/0072/5431/0975/products/GnL_FW17_05_3.jpg?v=1582316481"/>
    <hyperlink ref="C17" r:id="rId13" display="https://cdn.shopify.com/s/files/1/0072/5431/0975/products/gnl00293-Edit-web.jpg?v=1694686485"/>
    <hyperlink ref="C18" r:id="rId14" display="https://cdn.shopify.com/s/files/1/0072/5431/0975/files/AU1_SoftStone_01-jpeg2000px.jpg?v=1720682784"/>
    <hyperlink ref="C19" r:id="rId15" display="https://cdn.shopify.com/s/files/1/0072/5431/0975/products/gnl00298-Edit-Edit-web.jpg?v=1694685644"/>
    <hyperlink ref="C20" r:id="rId16" display="https://cdn.shopify.com/s/files/1/0072/5431/0975/files/GLFS2_d6aa5672-fcd3-4df6-930f-ff0c35073a98.png?v=1713268355"/>
    <hyperlink ref="C21" r:id="rId17" display="https://cdn.shopify.com/s/files/1/0072/5431/0975/products/GnL_Dez20_3.jpg?v=1613557089"/>
    <hyperlink ref="C22" r:id="rId18" display="https://cdn.shopify.com/s/files/1/0072/5431/0975/files/George_DeepFrost_01-jpeg2000px.jpg?v=1722537189"/>
    <hyperlink ref="C23" r:id="rId19" display="https://cdn.shopify.com/s/files/1/0072/5431/0975/products/gnl00286-Edit-web.jpg?v=1694686500"/>
    <hyperlink ref="C24" r:id="rId20" display="https://cdn.shopify.com/s/files/1/0072/5431/0975/products/gnl00233-Edit-web.jpg?v=1694780888"/>
    <hyperlink ref="C25" r:id="rId21" display="https://cdn.shopify.com/s/files/1/0072/5431/0975/files/SU1_DeepSea_01-jpeg2000px_0cd3a54d-dc1f-4562-bda1-237e60bedf33.jpg?v=1720694677"/>
    <hyperlink ref="C26" r:id="rId22" display="https://cdn.shopify.com/s/files/1/0072/5431/0975/files/GeorgeDeepSeasideShopify.jpg?v=1699531492"/>
    <hyperlink ref="C27" r:id="rId23" display="https://cdn.shopify.com/s/files/1/0072/5431/0975/files/George_CliniqueLaPrairie_01_-_jpeg_2000px.jpg?v=1720692964"/>
    <hyperlink ref="C28" r:id="rId24" display="https://cdn.shopify.com/s/files/1/0072/5431/0975/products/gnl00294-Edit-web.jpg?v=1694686467"/>
    <hyperlink ref="C29" r:id="rId25" display="https://cdn.shopify.com/s/files/1/0072/5431/0975/files/WaterLine_Red_01-jpeg2000px.jpg?v=1720693506"/>
    <hyperlink ref="C30" r:id="rId26" display="https://cdn.shopify.com/s/files/1/0072/5431/0975/files/George_FireLine_TwighlightSky_01-jpeg2000px.jpg?v=1723538377"/>
    <hyperlink ref="C31" r:id="rId27" display="https://cdn.shopify.com/s/files/1/0072/5431/0975/files/George_AlmondHaze_01-jpeg2000px.jpg?v=1722535932"/>
    <hyperlink ref="C32" r:id="rId28" display="https://cdn.shopify.com/s/files/1/0072/5431/0975/files/George_FireLine_BeachBreeze_01-jpeg2000px_1.jpg?v=1723554209"/>
    <hyperlink ref="C33" r:id="rId29" display="https://cdn.shopify.com/s/files/1/0072/5431/0975/files/George_Stracciatella_01_-_jpeg_2000px.jpg?v=1720684288"/>
    <hyperlink ref="C34" r:id="rId30" display="https://cdn.shopify.com/s/files/1/0072/5431/0975/files/George_FireLine_NightChocolate_01-jpeg2000px.jpg?v=1722536102"/>
    <hyperlink ref="C35" r:id="rId31" display="https://cdn.shopify.com/s/files/1/0072/5431/0975/files/George_FireLine_DeepBlack_01-jpeg2000px.jpg?v=1722537151"/>
    <hyperlink ref="C36" r:id="rId32" display="https://cdn.shopify.com/s/files/1/0072/5431/0975/files/check123.png?v=1712244719"/>
    <hyperlink ref="C37" r:id="rId33" display="https://cdn.shopify.com/s/files/1/0072/5431/0975/products/gnl00290-Edit-web.jpg?v=1694685740"/>
    <hyperlink ref="C38" r:id="rId34" display="https://cdn.shopify.com/s/files/1/0072/5431/0975/products/GnL_W_13_3.jpg?v=1582311419"/>
    <hyperlink ref="C39" r:id="rId35" display="https://cdn.shopify.com/s/files/1/0072/5431/0975/products/GnL_W_02_3_02.jpg?v=1582312603"/>
    <hyperlink ref="C40" r:id="rId36" display="https://cdn.shopify.com/s/files/1/0072/5431/0975/products/GnL_W_11_3.jpg?v=1582310609"/>
    <hyperlink ref="C41" r:id="rId37" display="https://cdn.shopify.com/s/files/1/0072/5431/0975/files/wl_beige_side_2.png?v=1712244273"/>
    <hyperlink ref="C42" r:id="rId38" display="https://cdn.shopify.com/s/files/1/0072/5431/0975/products/gnl00224-Edit-web.jpg?v=1694780857"/>
    <hyperlink ref="C43" r:id="rId39" display="https://cdn.shopify.com/s/files/1/0072/5431/0975/products/GnL_U_01_3.jpg?v=1582319161"/>
    <hyperlink ref="C44" r:id="rId40" display="https://cdn.shopify.com/s/files/1/0072/5431/0975/products/GnL_Herbst20_01_3.jpg?v=1616575789"/>
    <hyperlink ref="C45" r:id="rId41" display="https://cdn.shopify.com/s/files/1/0072/5431/0975/products/GnL_W_01_3.jpg?v=1582312187"/>
    <hyperlink ref="C46" r:id="rId42" display="https://cdn.shopify.com/s/files/1/0072/5431/0975/products/gnl00300-Edit-Edit-web.jpg?v=1694686968"/>
    <hyperlink ref="C47" r:id="rId43" display="https://cdn.shopify.com/s/files/1/0072/5431/0975/files/1check1.png?v=1712245002"/>
    <hyperlink ref="C48" r:id="rId44" display="https://cdn.shopify.com/s/files/1/0072/5431/0975/products/GnL_Ballerina_02_3.jpg?v=1601042368"/>
    <hyperlink ref="C49" r:id="rId45" display="https://cdn.shopify.com/s/files/1/0072/5431/0975/products/GnL_FW19_01_3.jpg?v=1582319645"/>
    <hyperlink ref="C50" r:id="rId46" display="https://cdn.shopify.com/s/files/1/0072/5431/0975/products/GnL_SS18_06_3.jpg?v=1582318283"/>
    <hyperlink ref="C51" r:id="rId47" display="https://cdn.shopify.com/s/files/1/0072/5431/0975/products/GnL_W_07_3.jpg?v=1582313630"/>
    <hyperlink ref="C52" r:id="rId48" display="https://cdn.shopify.com/s/files/1/0072/5431/0975/products/GnL_FW17_06_3.jpg?v=1582316651"/>
    <hyperlink ref="C53" r:id="rId49" display="https://cdn.shopify.com/s/files/1/0072/5431/0975/products/GnL_Hiker_01_3.jpg?v=1597223745"/>
    <hyperlink ref="C54" r:id="rId50" display="https://cdn.shopify.com/s/files/1/0072/5431/0975/products/GnL_SS18_04_3.jpg?v=1582317934"/>
    <hyperlink ref="C55" r:id="rId51" display="https://cdn.shopify.com/s/files/1/0072/5431/0975/products/GnL_SS18_02_3.jpg?v=1582317521"/>
    <hyperlink ref="C56" r:id="rId52" display="https://cdn.shopify.com/s/files/1/0072/5431/0975/products/GnL_SS18_03_3.jpg?v=1582317739"/>
    <hyperlink ref="C57" r:id="rId53" display="https://cdn.shopify.com/s/files/1/0072/5431/0975/products/GnL_FW17_07_3.jpg?v=1582316821"/>
    <hyperlink ref="C58" r:id="rId54" display="https://cdn.shopify.com/s/files/1/0072/5431/0975/products/GnL_W_08_3.jpg?v=1582313792"/>
    <hyperlink ref="C59" r:id="rId55" display="https://cdn.shopify.com/s/files/1/0072/5431/0975/products/GnL_SS18_07_3.jpg?v=1582318565"/>
    <hyperlink ref="C60" r:id="rId56" display="https://cdn.shopify.com/s/files/1/0072/5431/0975/products/GnL_Ballerina_01_3.jpg?v=1601042576"/>
    <hyperlink ref="C61" r:id="rId57" display="https://cdn.shopify.com/s/files/1/0072/5431/0975/products/GnL_FW17_08_3.jpg?v=1582316977"/>
    <hyperlink ref="C62" r:id="rId58" display="https://cdn.shopify.com/s/files/1/0072/5431/0975/products/GnL_W_09_3.jpg?v=1582303789"/>
    <hyperlink ref="C63" r:id="rId59" display="https://cdn.shopify.com/s/files/1/0072/5431/0975/products/GnL_FW17_03_3.jpg?v=1582316102"/>
    <hyperlink ref="C64" r:id="rId60" display="https://cdn.shopify.com/s/files/1/0072/5431/0975/products/GnL_Hiker_02_3.jpg?v=1597225280"/>
    <hyperlink ref="C65" r:id="rId61" display="https://cdn.shopify.com/s/files/1/0072/5431/0975/products/GnL_FW20_01_3.jpg?v=158232029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GNL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2024-09-06T12:27:12Z</dcterms:created>
  <dcterms:modified xsi:type="dcterms:W3CDTF">2024-09-14T09:11:04Z</dcterms:modified>
</cp:coreProperties>
</file>